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zasae1\Desktop\"/>
    </mc:Choice>
  </mc:AlternateContent>
  <xr:revisionPtr revIDLastSave="0" documentId="8_{F9C361CE-5967-4EE7-A324-288D4397D7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OAN SCHEDULE (4)" sheetId="1" r:id="rId1"/>
    <sheet name="Sheet1" sheetId="2" r:id="rId2"/>
    <sheet name="Sheet1 (2)" sheetId="4" r:id="rId3"/>
    <sheet name="Sheet2" sheetId="5" r:id="rId4"/>
  </sheets>
  <definedNames>
    <definedName name="_xlnm.Print_Titles" localSheetId="0">'LOAN SCHEDULE (4)'!$8:$8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4" i="1" l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G73" i="1"/>
  <c r="F73" i="1"/>
  <c r="E73" i="1"/>
  <c r="D73" i="1"/>
  <c r="C73" i="1"/>
  <c r="F9" i="1"/>
  <c r="G9" i="1"/>
  <c r="E9" i="1"/>
  <c r="D9" i="1"/>
  <c r="C9" i="1"/>
  <c r="J24" i="2"/>
  <c r="O24" i="2"/>
  <c r="M24" i="2"/>
  <c r="O22" i="2"/>
  <c r="N22" i="2"/>
  <c r="M22" i="2"/>
  <c r="G27" i="2"/>
  <c r="G25" i="2"/>
  <c r="G24" i="2"/>
  <c r="G23" i="2"/>
  <c r="I22" i="2"/>
  <c r="K12" i="5"/>
  <c r="J12" i="5"/>
  <c r="K11" i="5"/>
  <c r="J11" i="5"/>
  <c r="K10" i="5"/>
  <c r="J10" i="5"/>
  <c r="K9" i="5"/>
  <c r="J9" i="5"/>
  <c r="N42" i="5"/>
  <c r="P54" i="5"/>
  <c r="P55" i="5" s="1"/>
  <c r="P56" i="5" s="1"/>
  <c r="N41" i="5"/>
  <c r="N43" i="5" s="1"/>
  <c r="N46" i="5"/>
  <c r="N45" i="5"/>
  <c r="J33" i="5"/>
  <c r="G33" i="5"/>
  <c r="G27" i="5"/>
  <c r="J27" i="5"/>
  <c r="K33" i="5"/>
  <c r="K27" i="5"/>
  <c r="M20" i="5"/>
  <c r="M19" i="5"/>
  <c r="H6" i="4"/>
  <c r="G6" i="4"/>
  <c r="F4" i="4"/>
  <c r="B33" i="4"/>
  <c r="F29" i="4"/>
  <c r="G29" i="4" s="1"/>
  <c r="C29" i="4"/>
  <c r="E29" i="4" s="1"/>
  <c r="C10" i="4"/>
  <c r="E10" i="4"/>
  <c r="B24" i="4"/>
  <c r="F20" i="4"/>
  <c r="G20" i="4" s="1"/>
  <c r="C20" i="4"/>
  <c r="E20" i="4" s="1"/>
  <c r="F10" i="4"/>
  <c r="G10" i="4" s="1"/>
  <c r="B14" i="4"/>
  <c r="O54" i="4"/>
  <c r="M54" i="4"/>
  <c r="J54" i="4"/>
  <c r="O52" i="4"/>
  <c r="L52" i="4"/>
  <c r="J52" i="4"/>
  <c r="I52" i="4"/>
  <c r="K52" i="4" s="1"/>
  <c r="O46" i="4"/>
  <c r="M46" i="4"/>
  <c r="J46" i="4"/>
  <c r="O44" i="4"/>
  <c r="L44" i="4"/>
  <c r="J44" i="4"/>
  <c r="I44" i="4"/>
  <c r="K44" i="4" s="1"/>
  <c r="O38" i="4"/>
  <c r="M38" i="4"/>
  <c r="J38" i="4"/>
  <c r="O36" i="4"/>
  <c r="L36" i="4"/>
  <c r="J36" i="4"/>
  <c r="I36" i="4"/>
  <c r="K36" i="4" s="1"/>
  <c r="O30" i="4"/>
  <c r="M30" i="4"/>
  <c r="J30" i="4"/>
  <c r="K30" i="4" s="1"/>
  <c r="L30" i="4" s="1"/>
  <c r="O28" i="4"/>
  <c r="L28" i="4"/>
  <c r="J28" i="4"/>
  <c r="I28" i="4"/>
  <c r="K28" i="4" s="1"/>
  <c r="O22" i="4"/>
  <c r="M22" i="4"/>
  <c r="J22" i="4"/>
  <c r="O20" i="4"/>
  <c r="L20" i="4"/>
  <c r="J20" i="4"/>
  <c r="I20" i="4"/>
  <c r="K20" i="4" s="1"/>
  <c r="O14" i="4"/>
  <c r="M14" i="4"/>
  <c r="J14" i="4"/>
  <c r="K14" i="4" s="1"/>
  <c r="L14" i="4" s="1"/>
  <c r="O12" i="4"/>
  <c r="L12" i="4"/>
  <c r="J12" i="4"/>
  <c r="I12" i="4"/>
  <c r="K12" i="4" s="1"/>
  <c r="K8" i="4"/>
  <c r="L8" i="4" s="1"/>
  <c r="J48" i="2"/>
  <c r="O48" i="2"/>
  <c r="M48" i="2"/>
  <c r="O40" i="2"/>
  <c r="M40" i="2"/>
  <c r="J40" i="2"/>
  <c r="K40" i="2" s="1"/>
  <c r="L40" i="2" s="1"/>
  <c r="N40" i="2" s="1"/>
  <c r="N41" i="2" s="1"/>
  <c r="O32" i="2"/>
  <c r="M32" i="2"/>
  <c r="J32" i="2"/>
  <c r="J16" i="2"/>
  <c r="J8" i="2"/>
  <c r="O16" i="2"/>
  <c r="M16" i="2"/>
  <c r="O8" i="2"/>
  <c r="M8" i="2"/>
  <c r="I6" i="2"/>
  <c r="K6" i="2" s="1"/>
  <c r="K2" i="2"/>
  <c r="L2" i="2" s="1"/>
  <c r="G21" i="2"/>
  <c r="G20" i="2"/>
  <c r="O6" i="2"/>
  <c r="L6" i="2"/>
  <c r="J6" i="2"/>
  <c r="O46" i="2"/>
  <c r="L46" i="2"/>
  <c r="J46" i="2"/>
  <c r="I46" i="2"/>
  <c r="K46" i="2" s="1"/>
  <c r="O38" i="2"/>
  <c r="L38" i="2"/>
  <c r="J38" i="2"/>
  <c r="I38" i="2"/>
  <c r="K38" i="2" s="1"/>
  <c r="O30" i="2"/>
  <c r="L30" i="2"/>
  <c r="J30" i="2"/>
  <c r="I30" i="2"/>
  <c r="K30" i="2" s="1"/>
  <c r="L22" i="2"/>
  <c r="J22" i="2"/>
  <c r="K22" i="2"/>
  <c r="L14" i="2"/>
  <c r="O14" i="2"/>
  <c r="J14" i="2"/>
  <c r="I14" i="2"/>
  <c r="K14" i="2" s="1"/>
  <c r="C21" i="2"/>
  <c r="C13" i="2"/>
  <c r="F12" i="2"/>
  <c r="E12" i="2"/>
  <c r="D12" i="2"/>
  <c r="C12" i="2"/>
  <c r="E6" i="2"/>
  <c r="D6" i="2"/>
  <c r="E15" i="2" s="1"/>
  <c r="F15" i="2" s="1"/>
  <c r="K24" i="2" l="1"/>
  <c r="L24" i="2" s="1"/>
  <c r="N24" i="2" s="1"/>
  <c r="N25" i="2" s="1"/>
  <c r="N47" i="5"/>
  <c r="N48" i="5" s="1"/>
  <c r="N49" i="5" s="1"/>
  <c r="C33" i="4"/>
  <c r="D33" i="4" s="1"/>
  <c r="E33" i="4" s="1"/>
  <c r="F33" i="4" s="1"/>
  <c r="N14" i="4"/>
  <c r="N15" i="4" s="1"/>
  <c r="C24" i="4"/>
  <c r="D24" i="4" s="1"/>
  <c r="E24" i="4" s="1"/>
  <c r="F24" i="4" s="1"/>
  <c r="C14" i="4"/>
  <c r="D14" i="4" s="1"/>
  <c r="E14" i="4" s="1"/>
  <c r="F14" i="4" s="1"/>
  <c r="M36" i="4"/>
  <c r="N36" i="4" s="1"/>
  <c r="M20" i="4"/>
  <c r="N20" i="4" s="1"/>
  <c r="M28" i="4"/>
  <c r="N28" i="4" s="1"/>
  <c r="M12" i="4"/>
  <c r="N12" i="4" s="1"/>
  <c r="M44" i="4"/>
  <c r="N44" i="4" s="1"/>
  <c r="N30" i="4"/>
  <c r="N31" i="4" s="1"/>
  <c r="M52" i="4"/>
  <c r="N52" i="4" s="1"/>
  <c r="K38" i="4"/>
  <c r="L38" i="4" s="1"/>
  <c r="N38" i="4" s="1"/>
  <c r="N39" i="4" s="1"/>
  <c r="K22" i="4"/>
  <c r="L22" i="4" s="1"/>
  <c r="N22" i="4" s="1"/>
  <c r="N23" i="4" s="1"/>
  <c r="K46" i="4"/>
  <c r="L46" i="4" s="1"/>
  <c r="N46" i="4" s="1"/>
  <c r="N47" i="4" s="1"/>
  <c r="K54" i="4"/>
  <c r="L54" i="4" s="1"/>
  <c r="N54" i="4" s="1"/>
  <c r="N55" i="4" s="1"/>
  <c r="K48" i="2"/>
  <c r="L48" i="2" s="1"/>
  <c r="N48" i="2" s="1"/>
  <c r="N49" i="2" s="1"/>
  <c r="K32" i="2"/>
  <c r="L32" i="2" s="1"/>
  <c r="N32" i="2" s="1"/>
  <c r="N33" i="2" s="1"/>
  <c r="K16" i="2"/>
  <c r="L16" i="2" s="1"/>
  <c r="N16" i="2" s="1"/>
  <c r="N17" i="2" s="1"/>
  <c r="M6" i="2"/>
  <c r="N6" i="2" s="1"/>
  <c r="K8" i="2"/>
  <c r="L8" i="2" s="1"/>
  <c r="N8" i="2" s="1"/>
  <c r="N9" i="2" s="1"/>
  <c r="M38" i="2"/>
  <c r="N38" i="2" s="1"/>
  <c r="M14" i="2"/>
  <c r="N14" i="2" s="1"/>
  <c r="M30" i="2"/>
  <c r="N30" i="2" s="1"/>
  <c r="M46" i="2"/>
  <c r="N46" i="2" s="1"/>
  <c r="E18" i="2"/>
  <c r="D22" i="2" s="1"/>
  <c r="E22" i="2" s="1"/>
  <c r="F6" i="2"/>
</calcChain>
</file>

<file path=xl/sharedStrings.xml><?xml version="1.0" encoding="utf-8"?>
<sst xmlns="http://schemas.openxmlformats.org/spreadsheetml/2006/main" count="285" uniqueCount="107">
  <si>
    <t xml:space="preserve">ACCESS BANK GHANA PLC </t>
  </si>
  <si>
    <t>DAS LOAN REPAYMENT SCHEDULE</t>
  </si>
  <si>
    <t>LOAN AMOUNT</t>
  </si>
  <si>
    <t xml:space="preserve">1 YEAR </t>
  </si>
  <si>
    <t xml:space="preserve">2 YEARS </t>
  </si>
  <si>
    <t>3 YEARS</t>
  </si>
  <si>
    <t xml:space="preserve">4 YEARS </t>
  </si>
  <si>
    <t>5 YEARS</t>
  </si>
  <si>
    <t>cont</t>
  </si>
  <si>
    <t>bank</t>
  </si>
  <si>
    <t xml:space="preserve">agent </t>
  </si>
  <si>
    <t>BANK+ CONTROLLER</t>
  </si>
  <si>
    <t xml:space="preserve">BANK </t>
  </si>
  <si>
    <t>AGENT</t>
  </si>
  <si>
    <t xml:space="preserve">CONFIRMATION </t>
  </si>
  <si>
    <t xml:space="preserve">NEW RATE </t>
  </si>
  <si>
    <t xml:space="preserve">ORIGINAL RATE </t>
  </si>
  <si>
    <t>MONTHLY REP</t>
  </si>
  <si>
    <t>DIFFERENCE</t>
  </si>
  <si>
    <t>TOTAL (DIFF*TENOR)</t>
  </si>
  <si>
    <t>TENOR</t>
  </si>
  <si>
    <t xml:space="preserve">TOTAL RATE </t>
  </si>
  <si>
    <t>IF RATE IS 38.51%</t>
  </si>
  <si>
    <t xml:space="preserve">LOAN AMOUNT </t>
  </si>
  <si>
    <t xml:space="preserve">TENOR </t>
  </si>
  <si>
    <t>RATE (BANK +CAGD+ AGENT)</t>
  </si>
  <si>
    <t>BANK (32.51%)</t>
  </si>
  <si>
    <t xml:space="preserve">CONTROLLER </t>
  </si>
  <si>
    <t xml:space="preserve">AGENT </t>
  </si>
  <si>
    <t xml:space="preserve">MONTHLY- CAGD </t>
  </si>
  <si>
    <t>MONTHLY AGENT FEE</t>
  </si>
  <si>
    <t xml:space="preserve">OVERALL MONTHLY </t>
  </si>
  <si>
    <t xml:space="preserve">BASED ON MONTHLY REP&amp; NEW RATE </t>
  </si>
  <si>
    <t xml:space="preserve">ASSUMPTIONS </t>
  </si>
  <si>
    <t xml:space="preserve">1. MINIMUM TENOR OF 48 MONTHS </t>
  </si>
  <si>
    <t>2. AGENT'S FEE IS 8% ON PRINCIPAL</t>
  </si>
  <si>
    <t>3. NEW RATE IS 38.51 (32.51%+3%+2.99</t>
  </si>
  <si>
    <t xml:space="preserve">JANUARY 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</si>
  <si>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</si>
  <si>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</si>
  <si>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</si>
  <si>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</si>
  <si>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</si>
  <si>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</si>
  <si>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</si>
  <si>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</si>
  <si>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OCTOBER</t>
  </si>
  <si>
    <t xml:space="preserve">TOTAL </t>
  </si>
  <si>
    <t>MONTH</t>
  </si>
  <si>
    <t xml:space="preserve">REPAYMENT RECEIVED </t>
  </si>
  <si>
    <t xml:space="preserve">DISBURSED LOANS </t>
  </si>
  <si>
    <t>EXPECTED REPAYMENT</t>
  </si>
  <si>
    <t xml:space="preserve">REPAYMENT YET TO BE RECEIVED </t>
  </si>
  <si>
    <r>
      <t xml:space="preserve">Profitability Analysis </t>
    </r>
    <r>
      <rPr>
        <sz val="8"/>
        <color theme="1"/>
        <rFont val="Times New Roman"/>
        <family val="1"/>
      </rPr>
      <t>   </t>
    </r>
  </si>
  <si>
    <t xml:space="preserve">Revenue </t>
  </si>
  <si>
    <t xml:space="preserve">Estimated disbursable amount </t>
  </si>
  <si>
    <t>GHS 50,000,000</t>
  </si>
  <si>
    <t>Fees (3%)</t>
  </si>
  <si>
    <t>GHS 1,500,000</t>
  </si>
  <si>
    <t>Interest Income (34.58%)</t>
  </si>
  <si>
    <t>GHS 17,290,000</t>
  </si>
  <si>
    <t>Total revenue</t>
  </si>
  <si>
    <t>GHS 68,790,000</t>
  </si>
  <si>
    <t xml:space="preserve">Expense </t>
  </si>
  <si>
    <t xml:space="preserve">Retail cost of funds </t>
  </si>
  <si>
    <t>GHS 12,000,000</t>
  </si>
  <si>
    <t>Insurance 1%</t>
  </si>
  <si>
    <t>GHS 500,000</t>
  </si>
  <si>
    <t xml:space="preserve">Total expense </t>
  </si>
  <si>
    <t>GHS 12,500,000</t>
  </si>
  <si>
    <t xml:space="preserve">Net Income </t>
  </si>
  <si>
    <r>
      <t>GHS 56,290,000</t>
    </r>
    <r>
      <rPr>
        <sz val="8"/>
        <color theme="1"/>
        <rFont val="Times New Roman"/>
        <family val="1"/>
      </rPr>
      <t>  </t>
    </r>
  </si>
  <si>
    <t xml:space="preserve">Yield </t>
  </si>
  <si>
    <r>
      <t> </t>
    </r>
    <r>
      <rPr>
        <sz val="10"/>
        <color theme="1"/>
        <rFont val="Times New Roman"/>
        <family val="1"/>
      </rPr>
      <t>What informs the basis for the 50 million increase?</t>
    </r>
  </si>
  <si>
    <r>
      <t> </t>
    </r>
    <r>
      <rPr>
        <sz val="10"/>
        <color theme="1"/>
        <rFont val="Times New Roman"/>
        <family val="1"/>
      </rPr>
      <t>Where is your request???? And what are we increasing????</t>
    </r>
  </si>
  <si>
    <t>Are we increasing limit for Personal loan from 105 to 155M?</t>
  </si>
  <si>
    <t>If yes let us state so.</t>
  </si>
  <si>
    <t>What is the new approvals going to look like ie DAS, RTPL, PNPL?????</t>
  </si>
  <si>
    <t>What is the likely impact on NPL?</t>
  </si>
  <si>
    <t>What control measures are being put in place to ensure we don’t end up increasing NPL.</t>
  </si>
  <si>
    <t>What are we doing about delayed repayment and ceased salaries.</t>
  </si>
  <si>
    <t>What is leading to the increase in DAS utilization?</t>
  </si>
  <si>
    <t>The use of the agents what are the challenges?</t>
  </si>
  <si>
    <t>How are we mitigating that??</t>
  </si>
  <si>
    <t>What income has the bank earned from DAS month on month so far?</t>
  </si>
  <si>
    <t>Looking at industry analysis, are other banks increasing their limits to DAS??? Site these to justify if that is the case.</t>
  </si>
  <si>
    <t>Why isn't RTPL performing like DAS? What is being done to increase utilization on this?</t>
  </si>
  <si>
    <t>What is the overall impact of lending further to govt' on our sector limits as well at Retail portfolio in general</t>
  </si>
  <si>
    <t>The memo is too shallow.</t>
  </si>
  <si>
    <t>We need to be detailed and very clear on the game plan for this increase!</t>
  </si>
  <si>
    <r>
      <t> </t>
    </r>
    <r>
      <rPr>
        <sz val="10"/>
        <color theme="1"/>
        <rFont val="Times New Roman"/>
        <family val="1"/>
      </rPr>
      <t>Yes but the additional 50M will be utilized by the DAS product while we continue to onboard the private sectors for RTPL</t>
    </r>
  </si>
  <si>
    <r>
      <t> </t>
    </r>
    <r>
      <rPr>
        <sz val="10"/>
        <color theme="1"/>
        <rFont val="Times New Roman"/>
        <family val="1"/>
      </rPr>
      <t>Was the agency factored?</t>
    </r>
  </si>
  <si>
    <r>
      <t> </t>
    </r>
    <r>
      <rPr>
        <sz val="10"/>
        <color theme="1"/>
        <rFont val="Times New Roman"/>
        <family val="1"/>
      </rPr>
      <t>No, bank's rate was used here</t>
    </r>
  </si>
  <si>
    <t>Interest Income (33.58%)</t>
  </si>
  <si>
    <t xml:space="preserve">FEBRUARY </t>
  </si>
  <si>
    <t>MARCH</t>
  </si>
  <si>
    <t>NOVEMBER</t>
  </si>
  <si>
    <t>DECEMBER</t>
  </si>
  <si>
    <t>Q1</t>
  </si>
  <si>
    <t>Q2</t>
  </si>
  <si>
    <t>Q3</t>
  </si>
  <si>
    <t>Q4</t>
  </si>
  <si>
    <t>Q4 @ Nov.</t>
  </si>
  <si>
    <t xml:space="preserve">COUNT </t>
  </si>
  <si>
    <t xml:space="preserve">VOLUME </t>
  </si>
  <si>
    <t xml:space="preserve">YEAR </t>
  </si>
  <si>
    <t>IF RATE IS 37.57%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</si>
</sst>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GHS]\ #,##0;[Red][$GHS]\ #,##0"/>
    <numFmt numFmtId="165" formatCode="[$GHS]\ #,##0.00;[Red][$GHS]\ #,##0.00"/>
    <numFmt numFmtId="166" formatCode="[$GHS]\ #,##0.0000;[Red][$GHS]\ #,##0.0000"/>
    <numFmt numFmtId="167" formatCode="[$GHS]\ #,##0.00000;[Red][$GHS]\ #,##0.00000"/>
    <numFmt numFmtId="168" formatCode="0.0000"/>
    <numFmt numFmtId="169" formatCode="[$GHS]\ #,##0.00"/>
    <numFmt numFmtId="170" formatCode="[$GHS]\ #,##0.00_);[Red]\([$GHS]\ #,##0.00\)"/>
    <numFmt numFmtId="171" formatCode="[$GHS]\ #,##0_);[Red]\([$GHS]\ #,##0\)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3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rgb="FF000000"/>
      <name val="Arial"/>
      <family val="2"/>
    </font>
    <font>
      <sz val="8"/>
      <color theme="1"/>
      <name val="Times New Roman"/>
      <family val="1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165" fontId="0" fillId="0" borderId="0"/>
    <xf numFmtId="9" fontId="10" fillId="0" borderId="0" applyFont="0" applyFill="0" applyBorder="0" applyAlignment="0" applyProtection="0"/>
  </cellStyleXfs>
  <cellXfs count="153">
    <xf numFmtId="165" fontId="0" fillId="0" borderId="0" xfId="0"/>
    <xf numFmtId="165" fontId="0" fillId="0" borderId="2" xfId="0" applyBorder="1"/>
    <xf numFmtId="165" fontId="0" fillId="0" borderId="3" xfId="0" applyBorder="1"/>
    <xf numFmtId="165" fontId="0" fillId="0" borderId="5" xfId="0" applyBorder="1"/>
    <xf numFmtId="165" fontId="1" fillId="0" borderId="0" xfId="0" applyFont="1" applyAlignment="1">
      <alignment horizontal="center"/>
    </xf>
    <xf numFmtId="165" fontId="4" fillId="2" borderId="12" xfId="0" applyFont="1" applyFill="1" applyBorder="1" applyAlignment="1">
      <alignment horizontal="center"/>
    </xf>
    <xf numFmtId="165" fontId="4" fillId="2" borderId="10" xfId="0" applyFont="1" applyFill="1" applyBorder="1" applyAlignment="1">
      <alignment horizontal="center"/>
    </xf>
    <xf numFmtId="165" fontId="4" fillId="2" borderId="2" xfId="0" applyFont="1" applyFill="1" applyBorder="1" applyAlignment="1">
      <alignment horizontal="center"/>
    </xf>
    <xf numFmtId="165" fontId="4" fillId="2" borderId="13" xfId="0" applyFont="1" applyFill="1" applyBorder="1" applyAlignment="1">
      <alignment horizontal="center"/>
    </xf>
    <xf numFmtId="165" fontId="6" fillId="0" borderId="15" xfId="0" applyFont="1" applyBorder="1"/>
    <xf numFmtId="165" fontId="7" fillId="0" borderId="0" xfId="0" applyFont="1"/>
    <xf numFmtId="165" fontId="6" fillId="0" borderId="0" xfId="0" applyFont="1"/>
    <xf numFmtId="164" fontId="0" fillId="0" borderId="1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4" fillId="2" borderId="12" xfId="0" applyNumberFormat="1" applyFont="1" applyFill="1" applyBorder="1" applyAlignment="1">
      <alignment horizontal="left"/>
    </xf>
    <xf numFmtId="164" fontId="5" fillId="0" borderId="14" xfId="0" applyNumberFormat="1" applyFont="1" applyBorder="1" applyAlignment="1">
      <alignment horizontal="left"/>
    </xf>
    <xf numFmtId="164" fontId="5" fillId="0" borderId="16" xfId="0" applyNumberFormat="1" applyFont="1" applyBorder="1" applyAlignment="1">
      <alignment horizontal="left"/>
    </xf>
    <xf numFmtId="164" fontId="5" fillId="3" borderId="17" xfId="0" applyNumberFormat="1" applyFont="1" applyFill="1" applyBorder="1" applyAlignment="1">
      <alignment horizontal="left"/>
    </xf>
    <xf numFmtId="164" fontId="5" fillId="3" borderId="18" xfId="0" applyNumberFormat="1" applyFont="1" applyFill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164" fontId="5" fillId="0" borderId="15" xfId="0" applyNumberFormat="1" applyFont="1" applyBorder="1" applyAlignment="1">
      <alignment horizontal="left"/>
    </xf>
    <xf numFmtId="164" fontId="5" fillId="0" borderId="20" xfId="0" applyNumberFormat="1" applyFont="1" applyBorder="1" applyAlignment="1">
      <alignment horizontal="left"/>
    </xf>
    <xf numFmtId="164" fontId="5" fillId="3" borderId="21" xfId="0" applyNumberFormat="1" applyFont="1" applyFill="1" applyBorder="1" applyAlignment="1">
      <alignment horizontal="left"/>
    </xf>
    <xf numFmtId="164" fontId="5" fillId="3" borderId="12" xfId="0" applyNumberFormat="1" applyFont="1" applyFill="1" applyBorder="1" applyAlignment="1">
      <alignment horizontal="left"/>
    </xf>
    <xf numFmtId="164" fontId="5" fillId="0" borderId="17" xfId="0" applyNumberFormat="1" applyFont="1" applyBorder="1" applyAlignment="1">
      <alignment horizontal="left"/>
    </xf>
    <xf numFmtId="164" fontId="5" fillId="3" borderId="22" xfId="0" applyNumberFormat="1" applyFont="1" applyFill="1" applyBorder="1" applyAlignment="1">
      <alignment horizontal="left"/>
    </xf>
    <xf numFmtId="164" fontId="5" fillId="3" borderId="14" xfId="0" applyNumberFormat="1" applyFont="1" applyFill="1" applyBorder="1" applyAlignment="1">
      <alignment horizontal="left"/>
    </xf>
    <xf numFmtId="164" fontId="5" fillId="3" borderId="23" xfId="0" applyNumberFormat="1" applyFont="1" applyFill="1" applyBorder="1" applyAlignment="1">
      <alignment horizontal="left"/>
    </xf>
    <xf numFmtId="164" fontId="5" fillId="3" borderId="24" xfId="0" applyNumberFormat="1" applyFont="1" applyFill="1" applyBorder="1" applyAlignment="1">
      <alignment horizontal="left"/>
    </xf>
    <xf numFmtId="164" fontId="5" fillId="3" borderId="9" xfId="0" applyNumberFormat="1" applyFont="1" applyFill="1" applyBorder="1" applyAlignment="1">
      <alignment horizontal="left"/>
    </xf>
    <xf numFmtId="164" fontId="5" fillId="3" borderId="19" xfId="0" applyNumberFormat="1" applyFont="1" applyFill="1" applyBorder="1" applyAlignment="1">
      <alignment horizontal="left"/>
    </xf>
    <xf numFmtId="164" fontId="5" fillId="0" borderId="23" xfId="0" applyNumberFormat="1" applyFont="1" applyBorder="1" applyAlignment="1">
      <alignment horizontal="left"/>
    </xf>
    <xf numFmtId="164" fontId="5" fillId="0" borderId="24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/>
    </xf>
    <xf numFmtId="164" fontId="5" fillId="3" borderId="16" xfId="0" applyNumberFormat="1" applyFont="1" applyFill="1" applyBorder="1" applyAlignment="1">
      <alignment horizontal="left"/>
    </xf>
    <xf numFmtId="164" fontId="5" fillId="3" borderId="13" xfId="0" applyNumberFormat="1" applyFont="1" applyFill="1" applyBorder="1" applyAlignment="1">
      <alignment horizontal="left"/>
    </xf>
    <xf numFmtId="164" fontId="5" fillId="0" borderId="21" xfId="0" applyNumberFormat="1" applyFont="1" applyBorder="1" applyAlignment="1">
      <alignment horizontal="left"/>
    </xf>
    <xf numFmtId="164" fontId="5" fillId="0" borderId="25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165" fontId="7" fillId="0" borderId="26" xfId="0" applyFont="1" applyBorder="1" applyAlignment="1">
      <alignment horizontal="right"/>
    </xf>
    <xf numFmtId="165" fontId="7" fillId="0" borderId="26" xfId="0" applyFont="1" applyBorder="1"/>
    <xf numFmtId="166" fontId="7" fillId="0" borderId="0" xfId="0" applyNumberFormat="1" applyFont="1"/>
    <xf numFmtId="167" fontId="7" fillId="0" borderId="0" xfId="0" applyNumberFormat="1" applyFont="1"/>
    <xf numFmtId="165" fontId="8" fillId="0" borderId="26" xfId="0" applyFont="1" applyBorder="1" applyAlignment="1">
      <alignment horizontal="center"/>
    </xf>
    <xf numFmtId="165" fontId="8" fillId="4" borderId="26" xfId="0" applyFont="1" applyFill="1" applyBorder="1" applyAlignment="1">
      <alignment horizontal="center"/>
    </xf>
    <xf numFmtId="164" fontId="8" fillId="0" borderId="26" xfId="0" applyNumberFormat="1" applyFont="1" applyBorder="1" applyAlignment="1">
      <alignment horizontal="center"/>
    </xf>
    <xf numFmtId="168" fontId="8" fillId="0" borderId="26" xfId="0" applyNumberFormat="1" applyFont="1" applyBorder="1" applyAlignment="1">
      <alignment horizontal="center"/>
    </xf>
    <xf numFmtId="168" fontId="8" fillId="4" borderId="26" xfId="0" applyNumberFormat="1" applyFont="1" applyFill="1" applyBorder="1" applyAlignment="1">
      <alignment horizontal="center"/>
    </xf>
    <xf numFmtId="165" fontId="8" fillId="0" borderId="0" xfId="0" applyFont="1"/>
    <xf numFmtId="165" fontId="9" fillId="0" borderId="26" xfId="0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65" fontId="8" fillId="0" borderId="0" xfId="0" applyFont="1" applyAlignment="1">
      <alignment horizontal="center"/>
    </xf>
    <xf numFmtId="165" fontId="8" fillId="4" borderId="0" xfId="0" applyFont="1" applyFill="1" applyAlignment="1">
      <alignment horizontal="center"/>
    </xf>
    <xf numFmtId="166" fontId="8" fillId="0" borderId="0" xfId="0" applyNumberFormat="1" applyFont="1"/>
    <xf numFmtId="9" fontId="8" fillId="0" borderId="26" xfId="1" applyFont="1" applyBorder="1" applyAlignment="1">
      <alignment horizontal="center"/>
    </xf>
    <xf numFmtId="10" fontId="8" fillId="4" borderId="26" xfId="1" applyNumberFormat="1" applyFont="1" applyFill="1" applyBorder="1" applyAlignment="1">
      <alignment horizontal="center"/>
    </xf>
    <xf numFmtId="165" fontId="0" fillId="0" borderId="0" xfId="0" applyAlignment="1">
      <alignment horizontal="left"/>
    </xf>
    <xf numFmtId="10" fontId="6" fillId="0" borderId="26" xfId="1" applyNumberFormat="1" applyFont="1" applyBorder="1" applyAlignment="1">
      <alignment horizontal="left"/>
    </xf>
    <xf numFmtId="1" fontId="6" fillId="0" borderId="26" xfId="0" applyNumberFormat="1" applyFont="1" applyBorder="1" applyAlignment="1">
      <alignment horizontal="left"/>
    </xf>
    <xf numFmtId="165" fontId="6" fillId="0" borderId="26" xfId="0" applyFont="1" applyBorder="1" applyAlignment="1">
      <alignment horizontal="left"/>
    </xf>
    <xf numFmtId="165" fontId="8" fillId="0" borderId="0" xfId="0" applyFont="1" applyAlignment="1">
      <alignment horizontal="left"/>
    </xf>
    <xf numFmtId="165" fontId="6" fillId="0" borderId="0" xfId="0" applyFont="1" applyAlignment="1">
      <alignment horizontal="left"/>
    </xf>
    <xf numFmtId="165" fontId="5" fillId="0" borderId="28" xfId="0" applyFont="1" applyBorder="1" applyAlignment="1">
      <alignment horizontal="left" vertical="center"/>
    </xf>
    <xf numFmtId="165" fontId="5" fillId="0" borderId="29" xfId="0" applyFont="1" applyBorder="1" applyAlignment="1">
      <alignment horizontal="left" vertical="center" wrapText="1"/>
    </xf>
    <xf numFmtId="165" fontId="5" fillId="0" borderId="29" xfId="0" applyFont="1" applyBorder="1" applyAlignment="1">
      <alignment horizontal="left" vertical="center"/>
    </xf>
    <xf numFmtId="165" fontId="5" fillId="0" borderId="30" xfId="0" applyFont="1" applyBorder="1" applyAlignment="1">
      <alignment horizontal="left" vertical="center"/>
    </xf>
    <xf numFmtId="164" fontId="6" fillId="0" borderId="31" xfId="0" applyNumberFormat="1" applyFont="1" applyBorder="1" applyAlignment="1">
      <alignment horizontal="left"/>
    </xf>
    <xf numFmtId="165" fontId="6" fillId="0" borderId="32" xfId="0" applyFont="1" applyBorder="1" applyAlignment="1">
      <alignment horizontal="left"/>
    </xf>
    <xf numFmtId="165" fontId="6" fillId="0" borderId="31" xfId="0" applyFont="1" applyBorder="1" applyAlignment="1">
      <alignment horizontal="left"/>
    </xf>
    <xf numFmtId="165" fontId="6" fillId="0" borderId="34" xfId="0" applyFont="1" applyBorder="1" applyAlignment="1">
      <alignment horizontal="left"/>
    </xf>
    <xf numFmtId="165" fontId="6" fillId="0" borderId="35" xfId="0" applyFont="1" applyBorder="1" applyAlignment="1">
      <alignment horizontal="left"/>
    </xf>
    <xf numFmtId="165" fontId="6" fillId="0" borderId="36" xfId="0" applyFont="1" applyBorder="1" applyAlignment="1">
      <alignment horizontal="left"/>
    </xf>
    <xf numFmtId="165" fontId="6" fillId="0" borderId="28" xfId="0" applyFont="1" applyBorder="1" applyAlignment="1">
      <alignment horizontal="left" vertical="center"/>
    </xf>
    <xf numFmtId="165" fontId="6" fillId="0" borderId="29" xfId="0" applyFont="1" applyBorder="1" applyAlignment="1">
      <alignment horizontal="left" vertical="center" wrapText="1"/>
    </xf>
    <xf numFmtId="165" fontId="6" fillId="0" borderId="29" xfId="0" applyFont="1" applyBorder="1" applyAlignment="1">
      <alignment horizontal="left" vertical="center"/>
    </xf>
    <xf numFmtId="165" fontId="6" fillId="0" borderId="30" xfId="0" applyFont="1" applyBorder="1" applyAlignment="1">
      <alignment horizontal="left" vertical="center"/>
    </xf>
    <xf numFmtId="165" fontId="7" fillId="0" borderId="0" xfId="0" applyFont="1" applyAlignment="1">
      <alignment horizontal="right"/>
    </xf>
    <xf numFmtId="165" fontId="6" fillId="3" borderId="15" xfId="0" applyFont="1" applyFill="1" applyBorder="1"/>
    <xf numFmtId="164" fontId="5" fillId="3" borderId="4" xfId="0" applyNumberFormat="1" applyFont="1" applyFill="1" applyBorder="1" applyAlignment="1">
      <alignment horizontal="left"/>
    </xf>
    <xf numFmtId="169" fontId="0" fillId="0" borderId="0" xfId="0" applyNumberFormat="1"/>
    <xf numFmtId="165" fontId="12" fillId="0" borderId="26" xfId="0" applyFont="1" applyBorder="1"/>
    <xf numFmtId="165" fontId="11" fillId="0" borderId="26" xfId="0" applyFont="1" applyBorder="1"/>
    <xf numFmtId="165" fontId="11" fillId="0" borderId="0" xfId="0" applyFont="1"/>
    <xf numFmtId="169" fontId="12" fillId="0" borderId="0" xfId="0" applyNumberFormat="1" applyFont="1"/>
    <xf numFmtId="165" fontId="12" fillId="0" borderId="0" xfId="0" applyFont="1"/>
    <xf numFmtId="169" fontId="11" fillId="0" borderId="0" xfId="0" applyNumberFormat="1" applyFont="1"/>
    <xf numFmtId="164" fontId="12" fillId="0" borderId="26" xfId="0" applyNumberFormat="1" applyFont="1" applyBorder="1" applyAlignment="1">
      <alignment horizontal="left"/>
    </xf>
    <xf numFmtId="164" fontId="11" fillId="0" borderId="26" xfId="0" applyNumberFormat="1" applyFont="1" applyBorder="1" applyAlignment="1">
      <alignment horizontal="left"/>
    </xf>
    <xf numFmtId="164" fontId="11" fillId="0" borderId="0" xfId="0" applyNumberFormat="1" applyFont="1" applyAlignment="1">
      <alignment horizontal="left"/>
    </xf>
    <xf numFmtId="165" fontId="5" fillId="0" borderId="26" xfId="0" applyFont="1" applyBorder="1"/>
    <xf numFmtId="164" fontId="5" fillId="0" borderId="26" xfId="0" applyNumberFormat="1" applyFont="1" applyBorder="1" applyAlignment="1">
      <alignment horizontal="left"/>
    </xf>
    <xf numFmtId="165" fontId="5" fillId="0" borderId="26" xfId="0" applyFont="1" applyBorder="1" applyAlignment="1">
      <alignment horizontal="left"/>
    </xf>
    <xf numFmtId="169" fontId="11" fillId="0" borderId="26" xfId="0" applyNumberFormat="1" applyFont="1" applyBorder="1" applyAlignment="1">
      <alignment horizontal="left"/>
    </xf>
    <xf numFmtId="169" fontId="12" fillId="0" borderId="26" xfId="0" applyNumberFormat="1" applyFont="1" applyBorder="1" applyAlignment="1">
      <alignment horizontal="left"/>
    </xf>
    <xf numFmtId="169" fontId="12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165" fontId="0" fillId="0" borderId="26" xfId="0" applyBorder="1"/>
    <xf numFmtId="165" fontId="15" fillId="0" borderId="22" xfId="0" applyFont="1" applyBorder="1" applyAlignment="1">
      <alignment horizontal="justify" vertical="center" wrapText="1"/>
    </xf>
    <xf numFmtId="165" fontId="17" fillId="0" borderId="38" xfId="0" applyFont="1" applyBorder="1" applyAlignment="1">
      <alignment vertical="center"/>
    </xf>
    <xf numFmtId="165" fontId="18" fillId="0" borderId="22" xfId="0" applyFont="1" applyBorder="1" applyAlignment="1">
      <alignment horizontal="justify" vertical="center" wrapText="1"/>
    </xf>
    <xf numFmtId="165" fontId="19" fillId="0" borderId="38" xfId="0" applyFont="1" applyBorder="1" applyAlignment="1">
      <alignment vertical="center"/>
    </xf>
    <xf numFmtId="165" fontId="16" fillId="0" borderId="0" xfId="0" applyFont="1" applyAlignment="1">
      <alignment vertical="center"/>
    </xf>
    <xf numFmtId="165" fontId="14" fillId="0" borderId="0" xfId="0" applyFont="1" applyAlignment="1">
      <alignment vertical="center"/>
    </xf>
    <xf numFmtId="170" fontId="17" fillId="0" borderId="38" xfId="0" applyNumberFormat="1" applyFont="1" applyBorder="1" applyAlignment="1">
      <alignment horizontal="left" vertical="center"/>
    </xf>
    <xf numFmtId="171" fontId="17" fillId="0" borderId="38" xfId="0" applyNumberFormat="1" applyFont="1" applyBorder="1" applyAlignment="1">
      <alignment horizontal="left" vertical="center"/>
    </xf>
    <xf numFmtId="171" fontId="19" fillId="0" borderId="38" xfId="0" applyNumberFormat="1" applyFont="1" applyBorder="1" applyAlignment="1">
      <alignment horizontal="left" vertical="center"/>
    </xf>
    <xf numFmtId="165" fontId="17" fillId="0" borderId="38" xfId="0" applyFont="1" applyBorder="1" applyAlignment="1">
      <alignment horizontal="left" vertical="center"/>
    </xf>
    <xf numFmtId="165" fontId="19" fillId="0" borderId="38" xfId="0" applyFont="1" applyBorder="1" applyAlignment="1">
      <alignment horizontal="left" vertical="center"/>
    </xf>
    <xf numFmtId="9" fontId="17" fillId="0" borderId="38" xfId="1" applyFont="1" applyBorder="1" applyAlignment="1">
      <alignment horizontal="left" vertical="center"/>
    </xf>
    <xf numFmtId="164" fontId="11" fillId="0" borderId="39" xfId="0" applyNumberFormat="1" applyFont="1" applyBorder="1" applyAlignment="1">
      <alignment horizontal="left"/>
    </xf>
    <xf numFmtId="164" fontId="11" fillId="0" borderId="40" xfId="0" applyNumberFormat="1" applyFont="1" applyBorder="1" applyAlignment="1">
      <alignment horizontal="left"/>
    </xf>
    <xf numFmtId="164" fontId="11" fillId="0" borderId="41" xfId="0" applyNumberFormat="1" applyFont="1" applyBorder="1" applyAlignment="1">
      <alignment horizontal="left"/>
    </xf>
    <xf numFmtId="164" fontId="11" fillId="0" borderId="30" xfId="0" applyNumberFormat="1" applyFont="1" applyBorder="1" applyAlignment="1">
      <alignment horizontal="right"/>
    </xf>
    <xf numFmtId="164" fontId="11" fillId="0" borderId="32" xfId="0" applyNumberFormat="1" applyFont="1" applyBorder="1" applyAlignment="1">
      <alignment horizontal="right"/>
    </xf>
    <xf numFmtId="164" fontId="11" fillId="0" borderId="36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11" fillId="0" borderId="29" xfId="0" applyNumberFormat="1" applyFont="1" applyBorder="1" applyAlignment="1">
      <alignment horizontal="right"/>
    </xf>
    <xf numFmtId="0" fontId="11" fillId="0" borderId="26" xfId="0" applyNumberFormat="1" applyFont="1" applyBorder="1" applyAlignment="1">
      <alignment horizontal="right"/>
    </xf>
    <xf numFmtId="0" fontId="11" fillId="0" borderId="35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164" fontId="11" fillId="0" borderId="42" xfId="0" applyNumberFormat="1" applyFont="1" applyBorder="1" applyAlignment="1">
      <alignment horizontal="left"/>
    </xf>
    <xf numFmtId="0" fontId="11" fillId="0" borderId="43" xfId="0" applyNumberFormat="1" applyFont="1" applyBorder="1" applyAlignment="1">
      <alignment horizontal="right"/>
    </xf>
    <xf numFmtId="164" fontId="11" fillId="0" borderId="44" xfId="0" applyNumberFormat="1" applyFont="1" applyBorder="1" applyAlignment="1">
      <alignment horizontal="right"/>
    </xf>
    <xf numFmtId="164" fontId="0" fillId="0" borderId="47" xfId="0" applyNumberFormat="1" applyBorder="1" applyAlignment="1">
      <alignment horizontal="left"/>
    </xf>
    <xf numFmtId="0" fontId="0" fillId="0" borderId="0" xfId="0" applyNumberFormat="1" applyAlignment="1">
      <alignment horizontal="center" vertical="center"/>
    </xf>
    <xf numFmtId="164" fontId="20" fillId="0" borderId="12" xfId="0" applyNumberFormat="1" applyFont="1" applyBorder="1" applyAlignment="1">
      <alignment horizontal="center"/>
    </xf>
    <xf numFmtId="164" fontId="20" fillId="0" borderId="45" xfId="0" applyNumberFormat="1" applyFont="1" applyBorder="1" applyAlignment="1">
      <alignment horizontal="right"/>
    </xf>
    <xf numFmtId="165" fontId="20" fillId="0" borderId="46" xfId="0" applyFont="1" applyBorder="1" applyAlignment="1">
      <alignment horizontal="right"/>
    </xf>
    <xf numFmtId="165" fontId="8" fillId="5" borderId="26" xfId="0" applyFont="1" applyFill="1" applyBorder="1" applyAlignment="1">
      <alignment horizontal="center"/>
    </xf>
    <xf numFmtId="165" fontId="9" fillId="5" borderId="26" xfId="0" applyFont="1" applyFill="1" applyBorder="1" applyAlignment="1">
      <alignment horizontal="center"/>
    </xf>
    <xf numFmtId="164" fontId="8" fillId="5" borderId="26" xfId="0" applyNumberFormat="1" applyFont="1" applyFill="1" applyBorder="1" applyAlignment="1">
      <alignment horizontal="center"/>
    </xf>
    <xf numFmtId="1" fontId="9" fillId="5" borderId="26" xfId="0" applyNumberFormat="1" applyFont="1" applyFill="1" applyBorder="1" applyAlignment="1">
      <alignment horizontal="center"/>
    </xf>
    <xf numFmtId="168" fontId="8" fillId="5" borderId="26" xfId="0" applyNumberFormat="1" applyFont="1" applyFill="1" applyBorder="1" applyAlignment="1">
      <alignment horizontal="center"/>
    </xf>
    <xf numFmtId="165" fontId="8" fillId="5" borderId="0" xfId="0" applyFont="1" applyFill="1" applyAlignment="1">
      <alignment horizontal="center"/>
    </xf>
    <xf numFmtId="165" fontId="3" fillId="0" borderId="9" xfId="0" applyFont="1" applyBorder="1" applyAlignment="1">
      <alignment horizontal="center"/>
    </xf>
    <xf numFmtId="165" fontId="3" fillId="0" borderId="10" xfId="0" applyFont="1" applyBorder="1" applyAlignment="1">
      <alignment horizontal="center"/>
    </xf>
    <xf numFmtId="165" fontId="3" fillId="0" borderId="11" xfId="0" applyFont="1" applyBorder="1" applyAlignment="1">
      <alignment horizontal="center"/>
    </xf>
    <xf numFmtId="165" fontId="1" fillId="0" borderId="6" xfId="0" applyFont="1" applyBorder="1" applyAlignment="1">
      <alignment horizontal="center"/>
    </xf>
    <xf numFmtId="165" fontId="0" fillId="0" borderId="7" xfId="0" applyBorder="1" applyAlignment="1">
      <alignment horizontal="center"/>
    </xf>
    <xf numFmtId="165" fontId="0" fillId="0" borderId="8" xfId="0" applyBorder="1" applyAlignment="1">
      <alignment horizontal="center"/>
    </xf>
    <xf numFmtId="165" fontId="1" fillId="0" borderId="2" xfId="0" applyFont="1" applyBorder="1" applyAlignment="1">
      <alignment horizontal="center"/>
    </xf>
    <xf numFmtId="165" fontId="1" fillId="0" borderId="3" xfId="0" applyFont="1" applyBorder="1" applyAlignment="1">
      <alignment horizontal="center"/>
    </xf>
    <xf numFmtId="165" fontId="2" fillId="0" borderId="0" xfId="0" applyFont="1" applyAlignment="1">
      <alignment horizontal="center"/>
    </xf>
    <xf numFmtId="165" fontId="6" fillId="0" borderId="16" xfId="0" applyFont="1" applyBorder="1" applyAlignment="1">
      <alignment horizontal="left"/>
    </xf>
    <xf numFmtId="165" fontId="6" fillId="0" borderId="27" xfId="0" applyFont="1" applyBorder="1" applyAlignment="1">
      <alignment horizontal="left"/>
    </xf>
    <xf numFmtId="165" fontId="6" fillId="0" borderId="33" xfId="0" applyFont="1" applyBorder="1" applyAlignment="1">
      <alignment horizontal="left"/>
    </xf>
    <xf numFmtId="165" fontId="15" fillId="0" borderId="9" xfId="0" applyFont="1" applyBorder="1" applyAlignment="1">
      <alignment horizontal="center" vertical="center" wrapText="1"/>
    </xf>
    <xf numFmtId="165" fontId="15" fillId="0" borderId="37" xfId="0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18"/>
  <sheetViews>
    <sheetView showGridLines="0" tabSelected="1" topLeftCell="A6" zoomScale="115" zoomScaleNormal="115" workbookViewId="0">
      <pane xSplit="3" ySplit="3" topLeftCell="D9" activePane="bottomRight" state="frozen"/>
      <selection activeCell="A6" sqref="A6"/>
      <selection pane="topRight" activeCell="D6" sqref="D6"/>
      <selection pane="bottomLeft" activeCell="A9" sqref="A9"/>
      <selection pane="bottomRight" activeCell="G73" sqref="G73"/>
    </sheetView>
  </sheetViews>
  <sheetFormatPr defaultRowHeight="15" x14ac:dyDescent="0.25"/>
  <cols>
    <col min="1" max="1" width="3.7109375" customWidth="1"/>
    <col min="2" max="2" width="17.28515625" style="14" customWidth="1"/>
    <col min="3" max="3" width="16.28515625" customWidth="1"/>
    <col min="4" max="4" width="16.85546875" customWidth="1"/>
    <col min="5" max="5" width="16.7109375" customWidth="1"/>
    <col min="6" max="7" width="16" customWidth="1"/>
    <col min="8" max="8" width="10.42578125" customWidth="1"/>
    <col min="9" max="9" width="16.85546875" customWidth="1"/>
    <col min="10" max="10" width="11.42578125" bestFit="1" customWidth="1"/>
    <col min="11" max="11" width="11" bestFit="1" customWidth="1"/>
    <col min="12" max="12" width="12.42578125" bestFit="1" customWidth="1"/>
  </cols>
  <sheetData>
    <row r="1" spans="2:11" hidden="1" x14ac:dyDescent="0.25">
      <c r="B1" s="12"/>
      <c r="C1" s="1"/>
      <c r="D1" s="1"/>
      <c r="E1" s="1"/>
      <c r="F1" s="1"/>
      <c r="G1" s="2"/>
    </row>
    <row r="2" spans="2:11" hidden="1" x14ac:dyDescent="0.25">
      <c r="B2" s="13"/>
      <c r="G2" s="3"/>
    </row>
    <row r="3" spans="2:11" hidden="1" x14ac:dyDescent="0.25">
      <c r="B3" s="13"/>
      <c r="G3" s="3"/>
    </row>
    <row r="4" spans="2:11" ht="15.75" hidden="1" x14ac:dyDescent="0.25">
      <c r="B4" s="13"/>
      <c r="C4" s="138"/>
      <c r="D4" s="139"/>
      <c r="E4" s="139"/>
      <c r="F4" s="139"/>
      <c r="G4" s="140"/>
    </row>
    <row r="5" spans="2:11" ht="15.75" hidden="1" x14ac:dyDescent="0.25">
      <c r="B5" s="13"/>
      <c r="C5" s="141"/>
      <c r="D5" s="141"/>
      <c r="E5" s="141"/>
      <c r="F5" s="141"/>
      <c r="G5" s="142"/>
    </row>
    <row r="6" spans="2:11" ht="25.5" customHeight="1" thickBot="1" x14ac:dyDescent="0.4">
      <c r="B6" s="143" t="s">
        <v>0</v>
      </c>
      <c r="C6" s="143"/>
      <c r="D6" s="143"/>
      <c r="E6" s="143"/>
      <c r="F6" s="143"/>
      <c r="G6" s="143"/>
    </row>
    <row r="7" spans="2:11" ht="22.5" customHeight="1" thickBot="1" x14ac:dyDescent="0.3">
      <c r="C7" s="135" t="s">
        <v>1</v>
      </c>
      <c r="D7" s="136"/>
      <c r="E7" s="136"/>
      <c r="F7" s="137"/>
      <c r="G7" s="4"/>
    </row>
    <row r="8" spans="2:11" ht="24" customHeight="1" thickBot="1" x14ac:dyDescent="0.3">
      <c r="B8" s="15" t="s">
        <v>2</v>
      </c>
      <c r="C8" s="5" t="s">
        <v>3</v>
      </c>
      <c r="D8" s="6" t="s">
        <v>4</v>
      </c>
      <c r="E8" s="5" t="s">
        <v>5</v>
      </c>
      <c r="F8" s="7" t="s">
        <v>6</v>
      </c>
      <c r="G8" s="8" t="s">
        <v>7</v>
      </c>
    </row>
    <row r="9" spans="2:11" s="10" customFormat="1" ht="14.1" customHeight="1" thickBot="1" x14ac:dyDescent="0.25">
      <c r="B9" s="16">
        <v>1000</v>
      </c>
      <c r="C9" s="9">
        <f>(PMT(0.36/12,12,-B9)/0.97)</f>
        <v>103.56916028140517</v>
      </c>
      <c r="D9" s="78">
        <f>(PMT(0.36/12,24,-B9))/0.97</f>
        <v>60.873624689659671</v>
      </c>
      <c r="E9" s="9">
        <f>(PMT(0.36/12,36,-B9))/0.97</f>
        <v>47.220406375419664</v>
      </c>
      <c r="F9" s="78">
        <f>(PMT(0.365/12,48,-B9))/0.97</f>
        <v>41.116142523932218</v>
      </c>
      <c r="G9" s="9">
        <f>(PMT(0.365/12,60,-B9))/0.97</f>
        <v>37.583634644561464</v>
      </c>
    </row>
    <row r="10" spans="2:11" s="10" customFormat="1" ht="14.1" customHeight="1" thickBot="1" x14ac:dyDescent="0.25">
      <c r="B10" s="17">
        <v>2000</v>
      </c>
      <c r="C10" s="9">
        <f t="shared" ref="C10:C68" si="0">(PMT(0.36/12,12,-B10)/0.97)</f>
        <v>207.13832056281035</v>
      </c>
      <c r="D10" s="78">
        <f t="shared" ref="D10:D68" si="1">(PMT(0.36/12,24,-B10))/0.97</f>
        <v>121.74724937931934</v>
      </c>
      <c r="E10" s="9">
        <f t="shared" ref="E10:E68" si="2">(PMT(0.36/12,36,-B10))/0.97</f>
        <v>94.440812750839328</v>
      </c>
      <c r="F10" s="78">
        <f t="shared" ref="F10:F68" si="3">(PMT(0.365/12,48,-B10))/0.97</f>
        <v>82.232285047864437</v>
      </c>
      <c r="G10" s="9">
        <f t="shared" ref="G10:G68" si="4">(PMT(0.365/12,60,-B10))/0.97</f>
        <v>75.167269289122927</v>
      </c>
    </row>
    <row r="11" spans="2:11" s="10" customFormat="1" ht="14.1" customHeight="1" thickBot="1" x14ac:dyDescent="0.25">
      <c r="B11" s="17">
        <v>2200</v>
      </c>
      <c r="C11" s="9">
        <f t="shared" si="0"/>
        <v>227.85215261909141</v>
      </c>
      <c r="D11" s="78">
        <f t="shared" si="1"/>
        <v>133.92197431725126</v>
      </c>
      <c r="E11" s="9">
        <f t="shared" si="2"/>
        <v>103.88489402592324</v>
      </c>
      <c r="F11" s="78">
        <f t="shared" si="3"/>
        <v>90.455513552650871</v>
      </c>
      <c r="G11" s="9">
        <f t="shared" si="4"/>
        <v>82.683996218035219</v>
      </c>
    </row>
    <row r="12" spans="2:11" s="10" customFormat="1" ht="14.1" customHeight="1" thickBot="1" x14ac:dyDescent="0.25">
      <c r="B12" s="18">
        <v>3500</v>
      </c>
      <c r="C12" s="9">
        <f t="shared" si="0"/>
        <v>362.49206098491806</v>
      </c>
      <c r="D12" s="78">
        <f t="shared" si="1"/>
        <v>213.05768641380882</v>
      </c>
      <c r="E12" s="9">
        <f t="shared" si="2"/>
        <v>165.2714223139688</v>
      </c>
      <c r="F12" s="78">
        <f t="shared" si="3"/>
        <v>143.90649883376275</v>
      </c>
      <c r="G12" s="9">
        <f t="shared" si="4"/>
        <v>131.54272125596512</v>
      </c>
    </row>
    <row r="13" spans="2:11" s="10" customFormat="1" ht="14.1" customHeight="1" thickBot="1" x14ac:dyDescent="0.25">
      <c r="B13" s="19">
        <v>4000</v>
      </c>
      <c r="C13" s="9">
        <f t="shared" si="0"/>
        <v>414.2766411256207</v>
      </c>
      <c r="D13" s="78">
        <f t="shared" si="1"/>
        <v>243.49449875863868</v>
      </c>
      <c r="E13" s="9">
        <f t="shared" si="2"/>
        <v>188.88162550167866</v>
      </c>
      <c r="F13" s="78">
        <f t="shared" si="3"/>
        <v>164.46457009572887</v>
      </c>
      <c r="G13" s="9">
        <f t="shared" si="4"/>
        <v>150.33453857824585</v>
      </c>
      <c r="I13" s="42"/>
      <c r="J13" s="42"/>
      <c r="K13" s="42"/>
    </row>
    <row r="14" spans="2:11" s="10" customFormat="1" ht="14.1" customHeight="1" thickBot="1" x14ac:dyDescent="0.25">
      <c r="B14" s="31">
        <v>5000</v>
      </c>
      <c r="C14" s="9">
        <f t="shared" si="0"/>
        <v>517.84580140702587</v>
      </c>
      <c r="D14" s="78">
        <f t="shared" si="1"/>
        <v>304.36812344829832</v>
      </c>
      <c r="E14" s="9">
        <f t="shared" si="2"/>
        <v>236.10203187709828</v>
      </c>
      <c r="F14" s="78">
        <f t="shared" si="3"/>
        <v>205.58071261966109</v>
      </c>
      <c r="G14" s="9">
        <f t="shared" si="4"/>
        <v>187.9181732228073</v>
      </c>
    </row>
    <row r="15" spans="2:11" s="10" customFormat="1" ht="14.1" customHeight="1" thickBot="1" x14ac:dyDescent="0.25">
      <c r="B15" s="20">
        <v>5500</v>
      </c>
      <c r="C15" s="9">
        <f t="shared" si="0"/>
        <v>569.63038154772846</v>
      </c>
      <c r="D15" s="78">
        <f t="shared" si="1"/>
        <v>334.80493579312815</v>
      </c>
      <c r="E15" s="9">
        <f t="shared" si="2"/>
        <v>259.71223506480811</v>
      </c>
      <c r="F15" s="78">
        <f t="shared" si="3"/>
        <v>226.13878388162718</v>
      </c>
      <c r="G15" s="9">
        <f t="shared" si="4"/>
        <v>206.70999054508806</v>
      </c>
      <c r="H15" s="77"/>
    </row>
    <row r="16" spans="2:11" s="10" customFormat="1" ht="15.95" customHeight="1" thickBot="1" x14ac:dyDescent="0.25">
      <c r="B16" s="21">
        <v>6000</v>
      </c>
      <c r="C16" s="9">
        <f t="shared" si="0"/>
        <v>621.41496168843105</v>
      </c>
      <c r="D16" s="78">
        <f t="shared" si="1"/>
        <v>365.24174813795804</v>
      </c>
      <c r="E16" s="9">
        <f t="shared" si="2"/>
        <v>283.32243825251794</v>
      </c>
      <c r="F16" s="78">
        <f t="shared" si="3"/>
        <v>246.69685514359327</v>
      </c>
      <c r="G16" s="9">
        <f t="shared" si="4"/>
        <v>225.50180786736877</v>
      </c>
      <c r="K16" s="43"/>
    </row>
    <row r="17" spans="2:7" s="10" customFormat="1" ht="15.95" customHeight="1" thickBot="1" x14ac:dyDescent="0.25">
      <c r="B17" s="22">
        <v>6500</v>
      </c>
      <c r="C17" s="9">
        <f t="shared" si="0"/>
        <v>673.19954182913364</v>
      </c>
      <c r="D17" s="78">
        <f t="shared" si="1"/>
        <v>395.67856048278787</v>
      </c>
      <c r="E17" s="9">
        <f t="shared" si="2"/>
        <v>306.93264144022777</v>
      </c>
      <c r="F17" s="78">
        <f t="shared" si="3"/>
        <v>267.25492640555939</v>
      </c>
      <c r="G17" s="9">
        <f t="shared" si="4"/>
        <v>244.2936251896495</v>
      </c>
    </row>
    <row r="18" spans="2:7" s="10" customFormat="1" ht="15.95" customHeight="1" thickBot="1" x14ac:dyDescent="0.25">
      <c r="B18" s="18">
        <v>7000</v>
      </c>
      <c r="C18" s="9">
        <f t="shared" si="0"/>
        <v>724.98412196983611</v>
      </c>
      <c r="D18" s="78">
        <f t="shared" si="1"/>
        <v>426.11537282761765</v>
      </c>
      <c r="E18" s="9">
        <f t="shared" si="2"/>
        <v>330.5428446279376</v>
      </c>
      <c r="F18" s="78">
        <f t="shared" si="3"/>
        <v>287.81299766752551</v>
      </c>
      <c r="G18" s="9">
        <f t="shared" si="4"/>
        <v>263.08544251193024</v>
      </c>
    </row>
    <row r="19" spans="2:7" s="10" customFormat="1" ht="15.95" customHeight="1" thickBot="1" x14ac:dyDescent="0.25">
      <c r="B19" s="19">
        <v>7500</v>
      </c>
      <c r="C19" s="9">
        <f t="shared" si="0"/>
        <v>776.76870211053881</v>
      </c>
      <c r="D19" s="78">
        <f t="shared" si="1"/>
        <v>456.55218517244754</v>
      </c>
      <c r="E19" s="9">
        <f t="shared" si="2"/>
        <v>354.15304781564743</v>
      </c>
      <c r="F19" s="78">
        <f t="shared" si="3"/>
        <v>308.37106892949163</v>
      </c>
      <c r="G19" s="9">
        <f t="shared" si="4"/>
        <v>281.87725983421097</v>
      </c>
    </row>
    <row r="20" spans="2:7" s="10" customFormat="1" ht="15.95" customHeight="1" thickBot="1" x14ac:dyDescent="0.25">
      <c r="B20" s="23">
        <v>8000</v>
      </c>
      <c r="C20" s="9">
        <f t="shared" si="0"/>
        <v>828.5532822512414</v>
      </c>
      <c r="D20" s="78">
        <f t="shared" si="1"/>
        <v>486.98899751727737</v>
      </c>
      <c r="E20" s="9">
        <f t="shared" si="2"/>
        <v>377.76325100335731</v>
      </c>
      <c r="F20" s="78">
        <f t="shared" si="3"/>
        <v>328.92914019145775</v>
      </c>
      <c r="G20" s="9">
        <f t="shared" si="4"/>
        <v>300.66907715649171</v>
      </c>
    </row>
    <row r="21" spans="2:7" s="10" customFormat="1" ht="15.95" customHeight="1" thickBot="1" x14ac:dyDescent="0.25">
      <c r="B21" s="24">
        <v>8500</v>
      </c>
      <c r="C21" s="9">
        <f t="shared" si="0"/>
        <v>880.3378623919441</v>
      </c>
      <c r="D21" s="78">
        <f t="shared" si="1"/>
        <v>517.42580986210714</v>
      </c>
      <c r="E21" s="9">
        <f t="shared" si="2"/>
        <v>401.37345419106708</v>
      </c>
      <c r="F21" s="78">
        <f t="shared" si="3"/>
        <v>349.48721145342387</v>
      </c>
      <c r="G21" s="9">
        <f t="shared" si="4"/>
        <v>319.46089447877245</v>
      </c>
    </row>
    <row r="22" spans="2:7" s="10" customFormat="1" ht="15.95" customHeight="1" thickBot="1" x14ac:dyDescent="0.25">
      <c r="B22" s="22">
        <v>9000</v>
      </c>
      <c r="C22" s="9">
        <f t="shared" si="0"/>
        <v>932.12244253264657</v>
      </c>
      <c r="D22" s="78">
        <f t="shared" si="1"/>
        <v>547.86262220693709</v>
      </c>
      <c r="E22" s="9">
        <f t="shared" si="2"/>
        <v>424.98365737877691</v>
      </c>
      <c r="F22" s="78">
        <f t="shared" si="3"/>
        <v>370.04528271538999</v>
      </c>
      <c r="G22" s="9">
        <f t="shared" si="4"/>
        <v>338.25271180105318</v>
      </c>
    </row>
    <row r="23" spans="2:7" s="10" customFormat="1" ht="15.95" customHeight="1" thickBot="1" x14ac:dyDescent="0.25">
      <c r="B23" s="25">
        <v>9500</v>
      </c>
      <c r="C23" s="9">
        <f t="shared" si="0"/>
        <v>983.90702267334916</v>
      </c>
      <c r="D23" s="78">
        <f t="shared" si="1"/>
        <v>578.29943455176681</v>
      </c>
      <c r="E23" s="9">
        <f t="shared" si="2"/>
        <v>448.59386056648674</v>
      </c>
      <c r="F23" s="78">
        <f t="shared" si="3"/>
        <v>390.60335397735611</v>
      </c>
      <c r="G23" s="9">
        <f t="shared" si="4"/>
        <v>357.04452912333392</v>
      </c>
    </row>
    <row r="24" spans="2:7" s="10" customFormat="1" ht="15.95" customHeight="1" thickBot="1" x14ac:dyDescent="0.25">
      <c r="B24" s="18">
        <v>10000</v>
      </c>
      <c r="C24" s="9">
        <f t="shared" si="0"/>
        <v>1035.6916028140517</v>
      </c>
      <c r="D24" s="78">
        <f t="shared" si="1"/>
        <v>608.73624689659664</v>
      </c>
      <c r="E24" s="9">
        <f t="shared" si="2"/>
        <v>472.20406375419657</v>
      </c>
      <c r="F24" s="78">
        <f t="shared" si="3"/>
        <v>411.16142523932217</v>
      </c>
      <c r="G24" s="9">
        <f t="shared" si="4"/>
        <v>375.83634644561459</v>
      </c>
    </row>
    <row r="25" spans="2:7" s="10" customFormat="1" ht="15.95" customHeight="1" thickBot="1" x14ac:dyDescent="0.25">
      <c r="B25" s="26">
        <v>10500</v>
      </c>
      <c r="C25" s="9">
        <f t="shared" si="0"/>
        <v>1087.4761829547544</v>
      </c>
      <c r="D25" s="78">
        <f t="shared" si="1"/>
        <v>639.17305924142647</v>
      </c>
      <c r="E25" s="9">
        <f t="shared" si="2"/>
        <v>495.8142669419064</v>
      </c>
      <c r="F25" s="78">
        <f t="shared" si="3"/>
        <v>431.71949650128829</v>
      </c>
      <c r="G25" s="9">
        <f t="shared" si="4"/>
        <v>394.62816376789539</v>
      </c>
    </row>
    <row r="26" spans="2:7" s="10" customFormat="1" ht="15.95" customHeight="1" thickBot="1" x14ac:dyDescent="0.25">
      <c r="B26" s="27">
        <v>11000</v>
      </c>
      <c r="C26" s="9">
        <f t="shared" si="0"/>
        <v>1139.2607630954569</v>
      </c>
      <c r="D26" s="78">
        <f t="shared" si="1"/>
        <v>669.6098715862563</v>
      </c>
      <c r="E26" s="9">
        <f t="shared" si="2"/>
        <v>519.42447012961622</v>
      </c>
      <c r="F26" s="78">
        <f t="shared" si="3"/>
        <v>452.27756776325435</v>
      </c>
      <c r="G26" s="9">
        <f t="shared" si="4"/>
        <v>413.41998109017612</v>
      </c>
    </row>
    <row r="27" spans="2:7" s="10" customFormat="1" ht="15.95" customHeight="1" thickBot="1" x14ac:dyDescent="0.25">
      <c r="B27" s="28">
        <v>11500</v>
      </c>
      <c r="C27" s="9">
        <f t="shared" si="0"/>
        <v>1191.0453432361594</v>
      </c>
      <c r="D27" s="78">
        <f t="shared" si="1"/>
        <v>700.04668393108614</v>
      </c>
      <c r="E27" s="9">
        <f t="shared" si="2"/>
        <v>543.034673317326</v>
      </c>
      <c r="F27" s="78">
        <f t="shared" si="3"/>
        <v>472.83563902522047</v>
      </c>
      <c r="G27" s="9">
        <f t="shared" si="4"/>
        <v>432.2117984124568</v>
      </c>
    </row>
    <row r="28" spans="2:7" s="10" customFormat="1" ht="15.95" customHeight="1" thickBot="1" x14ac:dyDescent="0.25">
      <c r="B28" s="17">
        <v>12000</v>
      </c>
      <c r="C28" s="9">
        <f t="shared" si="0"/>
        <v>1242.8299233768621</v>
      </c>
      <c r="D28" s="78">
        <f t="shared" si="1"/>
        <v>730.48349627591608</v>
      </c>
      <c r="E28" s="9">
        <f t="shared" si="2"/>
        <v>566.64487650503588</v>
      </c>
      <c r="F28" s="78">
        <f t="shared" si="3"/>
        <v>493.39371028718654</v>
      </c>
      <c r="G28" s="9">
        <f t="shared" si="4"/>
        <v>451.00361573473754</v>
      </c>
    </row>
    <row r="29" spans="2:7" s="10" customFormat="1" ht="15.95" customHeight="1" thickBot="1" x14ac:dyDescent="0.25">
      <c r="B29" s="17">
        <v>12500</v>
      </c>
      <c r="C29" s="9">
        <f t="shared" si="0"/>
        <v>1294.6145035175648</v>
      </c>
      <c r="D29" s="78">
        <f t="shared" si="1"/>
        <v>760.92030862074591</v>
      </c>
      <c r="E29" s="9">
        <f t="shared" si="2"/>
        <v>590.25507969274565</v>
      </c>
      <c r="F29" s="78">
        <f t="shared" si="3"/>
        <v>513.95178154915266</v>
      </c>
      <c r="G29" s="9">
        <f t="shared" si="4"/>
        <v>469.79543305701833</v>
      </c>
    </row>
    <row r="30" spans="2:7" s="10" customFormat="1" ht="15.95" customHeight="1" thickBot="1" x14ac:dyDescent="0.25">
      <c r="B30" s="29">
        <v>13000</v>
      </c>
      <c r="C30" s="9">
        <f t="shared" si="0"/>
        <v>1346.3990836582673</v>
      </c>
      <c r="D30" s="78">
        <f t="shared" si="1"/>
        <v>791.35712096557575</v>
      </c>
      <c r="E30" s="9">
        <f t="shared" si="2"/>
        <v>613.86528288045554</v>
      </c>
      <c r="F30" s="78">
        <f t="shared" si="3"/>
        <v>534.50985281111878</v>
      </c>
      <c r="G30" s="9">
        <f t="shared" si="4"/>
        <v>488.58725037929901</v>
      </c>
    </row>
    <row r="31" spans="2:7" s="10" customFormat="1" ht="15.95" customHeight="1" thickBot="1" x14ac:dyDescent="0.25">
      <c r="B31" s="30">
        <v>13500</v>
      </c>
      <c r="C31" s="9">
        <f t="shared" si="0"/>
        <v>1398.1836637989697</v>
      </c>
      <c r="D31" s="78">
        <f t="shared" si="1"/>
        <v>821.79393331040558</v>
      </c>
      <c r="E31" s="9">
        <f t="shared" si="2"/>
        <v>637.47548606816531</v>
      </c>
      <c r="F31" s="78">
        <f t="shared" si="3"/>
        <v>555.0679240730849</v>
      </c>
      <c r="G31" s="9">
        <f t="shared" si="4"/>
        <v>507.37906770157974</v>
      </c>
    </row>
    <row r="32" spans="2:7" s="10" customFormat="1" ht="15.95" customHeight="1" thickBot="1" x14ac:dyDescent="0.25">
      <c r="B32" s="28">
        <v>14000</v>
      </c>
      <c r="C32" s="9">
        <f t="shared" si="0"/>
        <v>1449.9682439396722</v>
      </c>
      <c r="D32" s="78">
        <f t="shared" si="1"/>
        <v>852.2307456552353</v>
      </c>
      <c r="E32" s="9">
        <f t="shared" si="2"/>
        <v>661.0856892558752</v>
      </c>
      <c r="F32" s="78">
        <f t="shared" si="3"/>
        <v>575.62599533505102</v>
      </c>
      <c r="G32" s="9">
        <f t="shared" si="4"/>
        <v>526.17088502386048</v>
      </c>
    </row>
    <row r="33" spans="2:7" s="10" customFormat="1" ht="15.95" customHeight="1" thickBot="1" x14ac:dyDescent="0.25">
      <c r="B33" s="29">
        <v>14700</v>
      </c>
      <c r="C33" s="9">
        <f t="shared" si="0"/>
        <v>1522.466656136656</v>
      </c>
      <c r="D33" s="78">
        <f t="shared" si="1"/>
        <v>894.84228293799708</v>
      </c>
      <c r="E33" s="9">
        <f t="shared" si="2"/>
        <v>694.13997371866901</v>
      </c>
      <c r="F33" s="78">
        <f t="shared" si="3"/>
        <v>604.40729510180358</v>
      </c>
      <c r="G33" s="9">
        <f t="shared" si="4"/>
        <v>552.47942927505358</v>
      </c>
    </row>
    <row r="34" spans="2:7" s="10" customFormat="1" ht="15.95" customHeight="1" thickBot="1" x14ac:dyDescent="0.25">
      <c r="B34" s="29">
        <v>14900</v>
      </c>
      <c r="C34" s="9">
        <f t="shared" si="0"/>
        <v>1543.1804881929372</v>
      </c>
      <c r="D34" s="78">
        <f t="shared" si="1"/>
        <v>907.01700787592904</v>
      </c>
      <c r="E34" s="9">
        <f t="shared" si="2"/>
        <v>703.58405499375294</v>
      </c>
      <c r="F34" s="78">
        <f t="shared" si="3"/>
        <v>612.63052360659003</v>
      </c>
      <c r="G34" s="9">
        <f t="shared" si="4"/>
        <v>559.99615620396582</v>
      </c>
    </row>
    <row r="35" spans="2:7" s="10" customFormat="1" ht="15.95" customHeight="1" thickBot="1" x14ac:dyDescent="0.25">
      <c r="B35" s="31">
        <v>15000</v>
      </c>
      <c r="C35" s="9">
        <f t="shared" si="0"/>
        <v>1553.5374042210776</v>
      </c>
      <c r="D35" s="78">
        <f t="shared" si="1"/>
        <v>913.10437034489507</v>
      </c>
      <c r="E35" s="9">
        <f t="shared" si="2"/>
        <v>708.30609563129485</v>
      </c>
      <c r="F35" s="78">
        <f t="shared" si="3"/>
        <v>616.74213785898326</v>
      </c>
      <c r="G35" s="9">
        <f t="shared" si="4"/>
        <v>563.75451966842195</v>
      </c>
    </row>
    <row r="36" spans="2:7" s="10" customFormat="1" ht="15.95" customHeight="1" thickBot="1" x14ac:dyDescent="0.25">
      <c r="B36" s="20">
        <v>15500</v>
      </c>
      <c r="C36" s="9">
        <f t="shared" si="0"/>
        <v>1605.3219843617803</v>
      </c>
      <c r="D36" s="78">
        <f t="shared" si="1"/>
        <v>943.54118268972479</v>
      </c>
      <c r="E36" s="9">
        <f t="shared" si="2"/>
        <v>731.91629881900474</v>
      </c>
      <c r="F36" s="78">
        <f t="shared" si="3"/>
        <v>637.30020912094949</v>
      </c>
      <c r="G36" s="9">
        <f t="shared" si="4"/>
        <v>582.54633699070268</v>
      </c>
    </row>
    <row r="37" spans="2:7" s="10" customFormat="1" ht="15.95" customHeight="1" thickBot="1" x14ac:dyDescent="0.25">
      <c r="B37" s="16">
        <v>16000</v>
      </c>
      <c r="C37" s="9">
        <f t="shared" si="0"/>
        <v>1657.1065645024828</v>
      </c>
      <c r="D37" s="78">
        <f t="shared" si="1"/>
        <v>973.97799503455474</v>
      </c>
      <c r="E37" s="9">
        <f t="shared" si="2"/>
        <v>755.52650200671462</v>
      </c>
      <c r="F37" s="78">
        <f t="shared" si="3"/>
        <v>657.8582803829155</v>
      </c>
      <c r="G37" s="9">
        <f t="shared" si="4"/>
        <v>601.33815431298342</v>
      </c>
    </row>
    <row r="38" spans="2:7" s="10" customFormat="1" ht="15.95" customHeight="1" thickBot="1" x14ac:dyDescent="0.25">
      <c r="B38" s="32">
        <v>16500</v>
      </c>
      <c r="C38" s="9">
        <f t="shared" si="0"/>
        <v>1708.8911446431853</v>
      </c>
      <c r="D38" s="78">
        <f t="shared" si="1"/>
        <v>1004.4148073793845</v>
      </c>
      <c r="E38" s="9">
        <f t="shared" si="2"/>
        <v>779.13670519442428</v>
      </c>
      <c r="F38" s="78">
        <f t="shared" si="3"/>
        <v>678.41635164488162</v>
      </c>
      <c r="G38" s="9">
        <f t="shared" si="4"/>
        <v>620.12997163526416</v>
      </c>
    </row>
    <row r="39" spans="2:7" s="10" customFormat="1" ht="15.95" customHeight="1" thickBot="1" x14ac:dyDescent="0.25">
      <c r="B39" s="29">
        <v>17000</v>
      </c>
      <c r="C39" s="9">
        <f t="shared" si="0"/>
        <v>1760.6757247838882</v>
      </c>
      <c r="D39" s="78">
        <f t="shared" si="1"/>
        <v>1034.8516197242143</v>
      </c>
      <c r="E39" s="9">
        <f t="shared" si="2"/>
        <v>802.74690838213417</v>
      </c>
      <c r="F39" s="78">
        <f t="shared" si="3"/>
        <v>698.97442290684774</v>
      </c>
      <c r="G39" s="9">
        <f t="shared" si="4"/>
        <v>638.92178895754489</v>
      </c>
    </row>
    <row r="40" spans="2:7" s="10" customFormat="1" ht="15.95" customHeight="1" thickBot="1" x14ac:dyDescent="0.25">
      <c r="B40" s="33">
        <v>17400</v>
      </c>
      <c r="C40" s="9">
        <f t="shared" si="0"/>
        <v>1802.10338889645</v>
      </c>
      <c r="D40" s="78">
        <f t="shared" si="1"/>
        <v>1059.2010696000782</v>
      </c>
      <c r="E40" s="9">
        <f t="shared" si="2"/>
        <v>821.63507093230203</v>
      </c>
      <c r="F40" s="78">
        <f t="shared" si="3"/>
        <v>715.42087991642063</v>
      </c>
      <c r="G40" s="9">
        <f t="shared" si="4"/>
        <v>653.95524281536939</v>
      </c>
    </row>
    <row r="41" spans="2:7" s="10" customFormat="1" ht="15.95" customHeight="1" thickBot="1" x14ac:dyDescent="0.25">
      <c r="B41" s="34">
        <v>17800</v>
      </c>
      <c r="C41" s="9">
        <f t="shared" si="0"/>
        <v>1843.5310530090119</v>
      </c>
      <c r="D41" s="78">
        <f t="shared" si="1"/>
        <v>1083.5505194759421</v>
      </c>
      <c r="E41" s="9">
        <f t="shared" si="2"/>
        <v>840.52323348246989</v>
      </c>
      <c r="F41" s="78">
        <f t="shared" si="3"/>
        <v>731.86733692599353</v>
      </c>
      <c r="G41" s="9">
        <f t="shared" si="4"/>
        <v>668.988696673194</v>
      </c>
    </row>
    <row r="42" spans="2:7" s="10" customFormat="1" ht="15.95" customHeight="1" thickBot="1" x14ac:dyDescent="0.25">
      <c r="B42" s="28">
        <v>18000</v>
      </c>
      <c r="C42" s="9">
        <f t="shared" si="0"/>
        <v>1864.2448850652931</v>
      </c>
      <c r="D42" s="78">
        <f t="shared" si="1"/>
        <v>1095.7252444138742</v>
      </c>
      <c r="E42" s="9">
        <f t="shared" si="2"/>
        <v>849.96731475755382</v>
      </c>
      <c r="F42" s="78">
        <f t="shared" si="3"/>
        <v>740.09056543077998</v>
      </c>
      <c r="G42" s="9">
        <f t="shared" si="4"/>
        <v>676.50542360210636</v>
      </c>
    </row>
    <row r="43" spans="2:7" s="10" customFormat="1" ht="15.95" customHeight="1" thickBot="1" x14ac:dyDescent="0.25">
      <c r="B43" s="35">
        <v>18200</v>
      </c>
      <c r="C43" s="9">
        <f t="shared" si="0"/>
        <v>1884.9587171215744</v>
      </c>
      <c r="D43" s="78">
        <f t="shared" si="1"/>
        <v>1107.8999693518058</v>
      </c>
      <c r="E43" s="9">
        <f t="shared" si="2"/>
        <v>859.41139603263775</v>
      </c>
      <c r="F43" s="78">
        <f t="shared" si="3"/>
        <v>748.31379393556631</v>
      </c>
      <c r="G43" s="9">
        <f t="shared" si="4"/>
        <v>684.02215053101861</v>
      </c>
    </row>
    <row r="44" spans="2:7" s="10" customFormat="1" ht="15.95" customHeight="1" thickBot="1" x14ac:dyDescent="0.25">
      <c r="B44" s="35">
        <v>18500</v>
      </c>
      <c r="C44" s="9">
        <f t="shared" si="0"/>
        <v>1916.0294652059956</v>
      </c>
      <c r="D44" s="78">
        <f t="shared" si="1"/>
        <v>1126.1620567587038</v>
      </c>
      <c r="E44" s="9">
        <f t="shared" si="2"/>
        <v>873.57751794526359</v>
      </c>
      <c r="F44" s="78">
        <f t="shared" si="3"/>
        <v>760.64863669274598</v>
      </c>
      <c r="G44" s="9">
        <f t="shared" si="4"/>
        <v>695.29724092438698</v>
      </c>
    </row>
    <row r="45" spans="2:7" s="10" customFormat="1" ht="15.95" customHeight="1" thickBot="1" x14ac:dyDescent="0.25">
      <c r="B45" s="35">
        <v>18600</v>
      </c>
      <c r="C45" s="9">
        <f t="shared" si="0"/>
        <v>1926.3863812341363</v>
      </c>
      <c r="D45" s="78">
        <f t="shared" si="1"/>
        <v>1132.2494192276699</v>
      </c>
      <c r="E45" s="9">
        <f t="shared" si="2"/>
        <v>878.29955858280562</v>
      </c>
      <c r="F45" s="78">
        <f t="shared" si="3"/>
        <v>764.76025094513921</v>
      </c>
      <c r="G45" s="9">
        <f t="shared" si="4"/>
        <v>699.05560438884322</v>
      </c>
    </row>
    <row r="46" spans="2:7" s="10" customFormat="1" ht="15.95" customHeight="1" thickBot="1" x14ac:dyDescent="0.25">
      <c r="B46" s="17">
        <v>19000</v>
      </c>
      <c r="C46" s="9">
        <f t="shared" si="0"/>
        <v>1967.8140453466983</v>
      </c>
      <c r="D46" s="78">
        <f t="shared" si="1"/>
        <v>1156.5988691035336</v>
      </c>
      <c r="E46" s="9">
        <f t="shared" si="2"/>
        <v>897.18772113297348</v>
      </c>
      <c r="F46" s="78">
        <f t="shared" si="3"/>
        <v>781.20670795471221</v>
      </c>
      <c r="G46" s="9">
        <f t="shared" si="4"/>
        <v>714.08905824666783</v>
      </c>
    </row>
    <row r="47" spans="2:7" s="10" customFormat="1" ht="15.95" customHeight="1" thickBot="1" x14ac:dyDescent="0.25">
      <c r="B47" s="33">
        <v>19500</v>
      </c>
      <c r="C47" s="9">
        <f t="shared" si="0"/>
        <v>2019.598625487401</v>
      </c>
      <c r="D47" s="78">
        <f t="shared" si="1"/>
        <v>1187.0356814483634</v>
      </c>
      <c r="E47" s="9">
        <f t="shared" si="2"/>
        <v>920.79792432068325</v>
      </c>
      <c r="F47" s="78">
        <f t="shared" si="3"/>
        <v>801.76477921667822</v>
      </c>
      <c r="G47" s="9">
        <f t="shared" si="4"/>
        <v>732.88087556894857</v>
      </c>
    </row>
    <row r="48" spans="2:7" s="10" customFormat="1" ht="15.95" customHeight="1" thickBot="1" x14ac:dyDescent="0.25">
      <c r="B48" s="35">
        <v>20000</v>
      </c>
      <c r="C48" s="9">
        <f t="shared" si="0"/>
        <v>2071.3832056281035</v>
      </c>
      <c r="D48" s="78">
        <f t="shared" si="1"/>
        <v>1217.4724937931933</v>
      </c>
      <c r="E48" s="9">
        <f t="shared" si="2"/>
        <v>944.40812750839314</v>
      </c>
      <c r="F48" s="78">
        <f t="shared" si="3"/>
        <v>822.32285047864434</v>
      </c>
      <c r="G48" s="9">
        <f t="shared" si="4"/>
        <v>751.67269289122919</v>
      </c>
    </row>
    <row r="49" spans="2:7" s="10" customFormat="1" ht="15.95" customHeight="1" thickBot="1" x14ac:dyDescent="0.25">
      <c r="B49" s="35">
        <v>20600</v>
      </c>
      <c r="C49" s="9">
        <f t="shared" si="0"/>
        <v>2133.5247017969464</v>
      </c>
      <c r="D49" s="78">
        <f t="shared" si="1"/>
        <v>1253.996668606989</v>
      </c>
      <c r="E49" s="9">
        <f t="shared" si="2"/>
        <v>972.74037133364493</v>
      </c>
      <c r="F49" s="78">
        <f t="shared" si="3"/>
        <v>846.9925359930038</v>
      </c>
      <c r="G49" s="9">
        <f t="shared" si="4"/>
        <v>774.22287367796616</v>
      </c>
    </row>
    <row r="50" spans="2:7" s="10" customFormat="1" ht="15.95" customHeight="1" thickBot="1" x14ac:dyDescent="0.25">
      <c r="B50" s="27">
        <v>21000</v>
      </c>
      <c r="C50" s="9">
        <f t="shared" si="0"/>
        <v>2174.9523659095089</v>
      </c>
      <c r="D50" s="78">
        <f t="shared" si="1"/>
        <v>1278.3461184828529</v>
      </c>
      <c r="E50" s="9">
        <f t="shared" si="2"/>
        <v>991.62853388381279</v>
      </c>
      <c r="F50" s="78">
        <f t="shared" si="3"/>
        <v>863.43899300257658</v>
      </c>
      <c r="G50" s="9">
        <f t="shared" si="4"/>
        <v>789.25632753579077</v>
      </c>
    </row>
    <row r="51" spans="2:7" s="10" customFormat="1" ht="15.95" customHeight="1" thickBot="1" x14ac:dyDescent="0.25">
      <c r="B51" s="28">
        <v>21500</v>
      </c>
      <c r="C51" s="9">
        <f t="shared" si="0"/>
        <v>2226.7369460502114</v>
      </c>
      <c r="D51" s="78">
        <f t="shared" si="1"/>
        <v>1308.7829308276828</v>
      </c>
      <c r="E51" s="9">
        <f t="shared" si="2"/>
        <v>1015.2387370715227</v>
      </c>
      <c r="F51" s="78">
        <f t="shared" si="3"/>
        <v>883.9970642645427</v>
      </c>
      <c r="G51" s="9">
        <f t="shared" si="4"/>
        <v>808.0481448580714</v>
      </c>
    </row>
    <row r="52" spans="2:7" s="10" customFormat="1" ht="15.95" customHeight="1" thickBot="1" x14ac:dyDescent="0.25">
      <c r="B52" s="17">
        <v>22000</v>
      </c>
      <c r="C52" s="9">
        <f t="shared" si="0"/>
        <v>2278.5215261909138</v>
      </c>
      <c r="D52" s="78">
        <f t="shared" si="1"/>
        <v>1339.2197431725126</v>
      </c>
      <c r="E52" s="9">
        <f t="shared" si="2"/>
        <v>1038.8489402592324</v>
      </c>
      <c r="F52" s="78">
        <f t="shared" si="3"/>
        <v>904.55513552650871</v>
      </c>
      <c r="G52" s="9">
        <f t="shared" si="4"/>
        <v>826.83996218035225</v>
      </c>
    </row>
    <row r="53" spans="2:7" s="10" customFormat="1" ht="15.95" customHeight="1" thickBot="1" x14ac:dyDescent="0.25">
      <c r="B53" s="17">
        <v>22500</v>
      </c>
      <c r="C53" s="9">
        <f t="shared" si="0"/>
        <v>2330.3061063316163</v>
      </c>
      <c r="D53" s="78">
        <f t="shared" si="1"/>
        <v>1369.6565555173427</v>
      </c>
      <c r="E53" s="9">
        <f t="shared" si="2"/>
        <v>1062.4591434469423</v>
      </c>
      <c r="F53" s="78">
        <f t="shared" si="3"/>
        <v>925.11320678847494</v>
      </c>
      <c r="G53" s="9">
        <f t="shared" si="4"/>
        <v>845.63177950263298</v>
      </c>
    </row>
    <row r="54" spans="2:7" s="10" customFormat="1" ht="15.95" customHeight="1" thickBot="1" x14ac:dyDescent="0.25">
      <c r="B54" s="35">
        <v>23000</v>
      </c>
      <c r="C54" s="9">
        <f t="shared" si="0"/>
        <v>2382.0906864723188</v>
      </c>
      <c r="D54" s="78">
        <f t="shared" si="1"/>
        <v>1400.0933678621723</v>
      </c>
      <c r="E54" s="9">
        <f t="shared" si="2"/>
        <v>1086.069346634652</v>
      </c>
      <c r="F54" s="78">
        <f t="shared" si="3"/>
        <v>945.67127805044095</v>
      </c>
      <c r="G54" s="9">
        <f t="shared" si="4"/>
        <v>864.4235968249136</v>
      </c>
    </row>
    <row r="55" spans="2:7" s="10" customFormat="1" ht="15.95" customHeight="1" thickBot="1" x14ac:dyDescent="0.25">
      <c r="B55" s="35">
        <v>23400</v>
      </c>
      <c r="C55" s="9">
        <f t="shared" si="0"/>
        <v>2423.5183505848809</v>
      </c>
      <c r="D55" s="78">
        <f t="shared" si="1"/>
        <v>1424.4428177380364</v>
      </c>
      <c r="E55" s="9">
        <f t="shared" si="2"/>
        <v>1104.9575091848199</v>
      </c>
      <c r="F55" s="78">
        <f t="shared" si="3"/>
        <v>962.11773506001396</v>
      </c>
      <c r="G55" s="9">
        <f t="shared" si="4"/>
        <v>879.45705068273821</v>
      </c>
    </row>
    <row r="56" spans="2:7" s="10" customFormat="1" ht="15.95" customHeight="1" thickBot="1" x14ac:dyDescent="0.25">
      <c r="B56" s="35">
        <v>24000</v>
      </c>
      <c r="C56" s="9">
        <f t="shared" si="0"/>
        <v>2485.6598467537242</v>
      </c>
      <c r="D56" s="78">
        <f t="shared" si="1"/>
        <v>1460.9669925518322</v>
      </c>
      <c r="E56" s="9">
        <f t="shared" si="2"/>
        <v>1133.2897530100718</v>
      </c>
      <c r="F56" s="78">
        <f t="shared" si="3"/>
        <v>986.78742057437307</v>
      </c>
      <c r="G56" s="9">
        <f t="shared" si="4"/>
        <v>902.00723146947507</v>
      </c>
    </row>
    <row r="57" spans="2:7" s="10" customFormat="1" ht="15.95" customHeight="1" thickBot="1" x14ac:dyDescent="0.25">
      <c r="B57" s="29">
        <v>24500</v>
      </c>
      <c r="C57" s="9">
        <f t="shared" si="0"/>
        <v>2537.4444268944267</v>
      </c>
      <c r="D57" s="78">
        <f t="shared" si="1"/>
        <v>1491.403804896662</v>
      </c>
      <c r="E57" s="9">
        <f t="shared" si="2"/>
        <v>1156.8999561977816</v>
      </c>
      <c r="F57" s="78">
        <f t="shared" si="3"/>
        <v>1007.3454918363394</v>
      </c>
      <c r="G57" s="9">
        <f t="shared" si="4"/>
        <v>920.79904879175581</v>
      </c>
    </row>
    <row r="58" spans="2:7" s="10" customFormat="1" ht="15.95" customHeight="1" thickBot="1" x14ac:dyDescent="0.25">
      <c r="B58" s="31">
        <v>25000</v>
      </c>
      <c r="C58" s="9">
        <f t="shared" si="0"/>
        <v>2589.2290070351296</v>
      </c>
      <c r="D58" s="78">
        <f t="shared" si="1"/>
        <v>1521.8406172414918</v>
      </c>
      <c r="E58" s="9">
        <f t="shared" si="2"/>
        <v>1180.5101593854913</v>
      </c>
      <c r="F58" s="78">
        <f t="shared" si="3"/>
        <v>1027.9035630983053</v>
      </c>
      <c r="G58" s="9">
        <f t="shared" si="4"/>
        <v>939.59086611403666</v>
      </c>
    </row>
    <row r="59" spans="2:7" s="10" customFormat="1" ht="15.95" customHeight="1" thickBot="1" x14ac:dyDescent="0.25">
      <c r="B59" s="36">
        <v>25500</v>
      </c>
      <c r="C59" s="9">
        <f t="shared" si="0"/>
        <v>2641.0135871758321</v>
      </c>
      <c r="D59" s="78">
        <f t="shared" si="1"/>
        <v>1552.2774295863214</v>
      </c>
      <c r="E59" s="9">
        <f t="shared" si="2"/>
        <v>1204.1203625732012</v>
      </c>
      <c r="F59" s="78">
        <f t="shared" si="3"/>
        <v>1048.4616343602715</v>
      </c>
      <c r="G59" s="9">
        <f t="shared" si="4"/>
        <v>958.38268343631728</v>
      </c>
    </row>
    <row r="60" spans="2:7" s="10" customFormat="1" ht="15.95" customHeight="1" thickBot="1" x14ac:dyDescent="0.25">
      <c r="B60" s="21">
        <v>26000</v>
      </c>
      <c r="C60" s="9">
        <f t="shared" si="0"/>
        <v>2692.7981673165345</v>
      </c>
      <c r="D60" s="78">
        <f t="shared" si="1"/>
        <v>1582.7142419311515</v>
      </c>
      <c r="E60" s="9">
        <f t="shared" si="2"/>
        <v>1227.7305657609111</v>
      </c>
      <c r="F60" s="78">
        <f t="shared" si="3"/>
        <v>1069.0197056222376</v>
      </c>
      <c r="G60" s="9">
        <f t="shared" si="4"/>
        <v>977.17450075859801</v>
      </c>
    </row>
    <row r="61" spans="2:7" s="10" customFormat="1" ht="15.95" customHeight="1" thickBot="1" x14ac:dyDescent="0.25">
      <c r="B61" s="22">
        <v>26500</v>
      </c>
      <c r="C61" s="9">
        <f t="shared" si="0"/>
        <v>2744.582747457237</v>
      </c>
      <c r="D61" s="78">
        <f t="shared" si="1"/>
        <v>1613.1510542759813</v>
      </c>
      <c r="E61" s="9">
        <f t="shared" si="2"/>
        <v>1251.340768948621</v>
      </c>
      <c r="F61" s="78">
        <f t="shared" si="3"/>
        <v>1089.5777768842038</v>
      </c>
      <c r="G61" s="9">
        <f t="shared" si="4"/>
        <v>995.96631808087886</v>
      </c>
    </row>
    <row r="62" spans="2:7" s="10" customFormat="1" ht="15.95" customHeight="1" thickBot="1" x14ac:dyDescent="0.25">
      <c r="B62" s="18">
        <v>27000</v>
      </c>
      <c r="C62" s="9">
        <f t="shared" si="0"/>
        <v>2796.3673275979395</v>
      </c>
      <c r="D62" s="78">
        <f t="shared" si="1"/>
        <v>1643.5878666208112</v>
      </c>
      <c r="E62" s="9">
        <f t="shared" si="2"/>
        <v>1274.9509721363306</v>
      </c>
      <c r="F62" s="78">
        <f t="shared" si="3"/>
        <v>1110.1358481461698</v>
      </c>
      <c r="G62" s="9">
        <f t="shared" si="4"/>
        <v>1014.7581354031595</v>
      </c>
    </row>
    <row r="63" spans="2:7" s="10" customFormat="1" ht="15.95" customHeight="1" thickBot="1" x14ac:dyDescent="0.25">
      <c r="B63" s="18">
        <v>27500</v>
      </c>
      <c r="C63" s="9">
        <f t="shared" si="0"/>
        <v>2848.151907738642</v>
      </c>
      <c r="D63" s="78">
        <f t="shared" si="1"/>
        <v>1674.024678965641</v>
      </c>
      <c r="E63" s="9">
        <f t="shared" si="2"/>
        <v>1298.5611753240403</v>
      </c>
      <c r="F63" s="78">
        <f t="shared" si="3"/>
        <v>1130.693919408136</v>
      </c>
      <c r="G63" s="9">
        <f t="shared" si="4"/>
        <v>1033.5499527254401</v>
      </c>
    </row>
    <row r="64" spans="2:7" s="10" customFormat="1" ht="15.95" customHeight="1" thickBot="1" x14ac:dyDescent="0.25">
      <c r="B64" s="18">
        <v>28000</v>
      </c>
      <c r="C64" s="9">
        <f t="shared" si="0"/>
        <v>2899.9364878793444</v>
      </c>
      <c r="D64" s="78">
        <f t="shared" si="1"/>
        <v>1704.4614913104706</v>
      </c>
      <c r="E64" s="9">
        <f t="shared" si="2"/>
        <v>1322.1713785117504</v>
      </c>
      <c r="F64" s="78">
        <f t="shared" si="3"/>
        <v>1151.251990670102</v>
      </c>
      <c r="G64" s="9">
        <f t="shared" si="4"/>
        <v>1052.341770047721</v>
      </c>
    </row>
    <row r="65" spans="2:7" s="10" customFormat="1" ht="15.95" customHeight="1" thickBot="1" x14ac:dyDescent="0.25">
      <c r="B65" s="18">
        <v>28500</v>
      </c>
      <c r="C65" s="9">
        <f t="shared" si="0"/>
        <v>2951.7210680200474</v>
      </c>
      <c r="D65" s="78">
        <f t="shared" si="1"/>
        <v>1734.8983036553004</v>
      </c>
      <c r="E65" s="9">
        <f t="shared" si="2"/>
        <v>1345.7815816994603</v>
      </c>
      <c r="F65" s="78">
        <f t="shared" si="3"/>
        <v>1171.8100619320683</v>
      </c>
      <c r="G65" s="9">
        <f t="shared" si="4"/>
        <v>1071.1335873700018</v>
      </c>
    </row>
    <row r="66" spans="2:7" s="10" customFormat="1" ht="15.95" customHeight="1" thickBot="1" x14ac:dyDescent="0.25">
      <c r="B66" s="25">
        <v>29000</v>
      </c>
      <c r="C66" s="9">
        <f t="shared" si="0"/>
        <v>3003.5056481607498</v>
      </c>
      <c r="D66" s="78">
        <f t="shared" si="1"/>
        <v>1765.3351160001305</v>
      </c>
      <c r="E66" s="9">
        <f t="shared" si="2"/>
        <v>1369.3917848871702</v>
      </c>
      <c r="F66" s="78">
        <f t="shared" si="3"/>
        <v>1192.3681331940345</v>
      </c>
      <c r="G66" s="9">
        <f t="shared" si="4"/>
        <v>1089.9254046922824</v>
      </c>
    </row>
    <row r="67" spans="2:7" s="10" customFormat="1" ht="15.95" customHeight="1" thickBot="1" x14ac:dyDescent="0.25">
      <c r="B67" s="37">
        <v>29500</v>
      </c>
      <c r="C67" s="9">
        <f t="shared" si="0"/>
        <v>3055.2902283014528</v>
      </c>
      <c r="D67" s="78">
        <f t="shared" si="1"/>
        <v>1795.7719283449603</v>
      </c>
      <c r="E67" s="9">
        <f t="shared" si="2"/>
        <v>1393.00198807488</v>
      </c>
      <c r="F67" s="78">
        <f t="shared" si="3"/>
        <v>1212.9262044560005</v>
      </c>
      <c r="G67" s="9">
        <f t="shared" si="4"/>
        <v>1108.717222014563</v>
      </c>
    </row>
    <row r="68" spans="2:7" s="10" customFormat="1" ht="15.95" customHeight="1" thickBot="1" x14ac:dyDescent="0.25">
      <c r="B68" s="38">
        <v>30000</v>
      </c>
      <c r="C68" s="9">
        <f t="shared" si="0"/>
        <v>3107.0748084421552</v>
      </c>
      <c r="D68" s="78">
        <f t="shared" si="1"/>
        <v>1826.2087406897901</v>
      </c>
      <c r="E68" s="9">
        <f t="shared" si="2"/>
        <v>1416.6121912625897</v>
      </c>
      <c r="F68" s="78">
        <f t="shared" si="3"/>
        <v>1233.4842757179665</v>
      </c>
      <c r="G68" s="9">
        <f t="shared" si="4"/>
        <v>1127.5090393368439</v>
      </c>
    </row>
    <row r="69" spans="2:7" s="10" customFormat="1" ht="15.95" customHeight="1" x14ac:dyDescent="0.2">
      <c r="B69" s="39"/>
      <c r="C69" s="11"/>
      <c r="D69" s="11"/>
      <c r="E69" s="11"/>
      <c r="F69" s="11"/>
      <c r="G69" s="11"/>
    </row>
    <row r="70" spans="2:7" s="10" customFormat="1" ht="24.75" customHeight="1" thickBot="1" x14ac:dyDescent="0.4">
      <c r="B70" s="143" t="s">
        <v>0</v>
      </c>
      <c r="C70" s="143"/>
      <c r="D70" s="143"/>
      <c r="E70" s="143"/>
      <c r="F70" s="143"/>
      <c r="G70" s="143"/>
    </row>
    <row r="71" spans="2:7" s="10" customFormat="1" ht="26.25" customHeight="1" thickBot="1" x14ac:dyDescent="0.3">
      <c r="B71" s="14"/>
      <c r="C71" s="135" t="s">
        <v>1</v>
      </c>
      <c r="D71" s="136"/>
      <c r="E71" s="136"/>
      <c r="F71" s="137"/>
      <c r="G71" s="4"/>
    </row>
    <row r="72" spans="2:7" ht="24" customHeight="1" thickBot="1" x14ac:dyDescent="0.3">
      <c r="B72" s="15" t="s">
        <v>2</v>
      </c>
      <c r="C72" s="5" t="s">
        <v>3</v>
      </c>
      <c r="D72" s="6" t="s">
        <v>4</v>
      </c>
      <c r="E72" s="5" t="s">
        <v>5</v>
      </c>
      <c r="F72" s="6" t="s">
        <v>6</v>
      </c>
      <c r="G72" s="5" t="s">
        <v>7</v>
      </c>
    </row>
    <row r="73" spans="2:7" s="10" customFormat="1" ht="15.95" customHeight="1" thickBot="1" x14ac:dyDescent="0.25">
      <c r="B73" s="18">
        <v>30500</v>
      </c>
      <c r="C73" s="9">
        <f>(PMT(0.36/12,12,-B73)/0.97)</f>
        <v>3158.8593885828577</v>
      </c>
      <c r="D73" s="78">
        <f>(PMT(0.36/12,24,-B73))/0.97</f>
        <v>1856.6455530346198</v>
      </c>
      <c r="E73" s="9">
        <f>(PMT(0.36/12,36,-B73))/0.97</f>
        <v>1440.2223944502996</v>
      </c>
      <c r="F73" s="78">
        <f>(PMT(0.365/12,48,-B73))/0.97</f>
        <v>1254.0423469799325</v>
      </c>
      <c r="G73" s="9">
        <f>(PMT(0.365/12,60,-B73))/0.97</f>
        <v>1146.3008566591245</v>
      </c>
    </row>
    <row r="74" spans="2:7" s="10" customFormat="1" ht="15.95" customHeight="1" thickBot="1" x14ac:dyDescent="0.25">
      <c r="B74" s="26">
        <v>31000</v>
      </c>
      <c r="C74" s="9">
        <f t="shared" ref="C74:C116" si="5">(PMT(0.36/12,12,-B74)/0.97)</f>
        <v>3210.6439687235606</v>
      </c>
      <c r="D74" s="78">
        <f t="shared" ref="D74:D116" si="6">(PMT(0.36/12,24,-B74))/0.97</f>
        <v>1887.0823653794496</v>
      </c>
      <c r="E74" s="9">
        <f t="shared" ref="E74:E116" si="7">(PMT(0.36/12,36,-B74))/0.97</f>
        <v>1463.8325976380095</v>
      </c>
      <c r="F74" s="78">
        <f t="shared" ref="F74:F116" si="8">(PMT(0.365/12,48,-B74))/0.97</f>
        <v>1274.600418241899</v>
      </c>
      <c r="G74" s="9">
        <f t="shared" ref="G74:G116" si="9">(PMT(0.365/12,60,-B74))/0.97</f>
        <v>1165.0926739814054</v>
      </c>
    </row>
    <row r="75" spans="2:7" s="10" customFormat="1" ht="15.95" customHeight="1" thickBot="1" x14ac:dyDescent="0.25">
      <c r="B75" s="27">
        <v>32000</v>
      </c>
      <c r="C75" s="9">
        <f t="shared" si="5"/>
        <v>3314.2131290049656</v>
      </c>
      <c r="D75" s="78">
        <f t="shared" si="6"/>
        <v>1947.9559900691095</v>
      </c>
      <c r="E75" s="9">
        <f t="shared" si="7"/>
        <v>1511.0530040134292</v>
      </c>
      <c r="F75" s="78">
        <f t="shared" si="8"/>
        <v>1315.716560765831</v>
      </c>
      <c r="G75" s="9">
        <f t="shared" si="9"/>
        <v>1202.6763086259668</v>
      </c>
    </row>
    <row r="76" spans="2:7" s="10" customFormat="1" ht="15.95" customHeight="1" thickBot="1" x14ac:dyDescent="0.25">
      <c r="B76" s="35">
        <v>32400</v>
      </c>
      <c r="C76" s="9">
        <f t="shared" si="5"/>
        <v>3355.6407931175277</v>
      </c>
      <c r="D76" s="78">
        <f t="shared" si="6"/>
        <v>1972.3054399449732</v>
      </c>
      <c r="E76" s="9">
        <f t="shared" si="7"/>
        <v>1529.9411665635971</v>
      </c>
      <c r="F76" s="78">
        <f t="shared" si="8"/>
        <v>1332.1630177754039</v>
      </c>
      <c r="G76" s="9">
        <f t="shared" si="9"/>
        <v>1217.7097624837916</v>
      </c>
    </row>
    <row r="77" spans="2:7" s="10" customFormat="1" ht="15.95" customHeight="1" thickBot="1" x14ac:dyDescent="0.25">
      <c r="B77" s="35">
        <v>35000</v>
      </c>
      <c r="C77" s="9">
        <f t="shared" si="5"/>
        <v>3624.9206098491813</v>
      </c>
      <c r="D77" s="78">
        <f t="shared" si="6"/>
        <v>2130.5768641380882</v>
      </c>
      <c r="E77" s="9">
        <f t="shared" si="7"/>
        <v>1652.7142231396879</v>
      </c>
      <c r="F77" s="78">
        <f t="shared" si="8"/>
        <v>1439.0649883376277</v>
      </c>
      <c r="G77" s="9">
        <f t="shared" si="9"/>
        <v>1315.4272125596513</v>
      </c>
    </row>
    <row r="78" spans="2:7" s="10" customFormat="1" ht="15.95" customHeight="1" thickBot="1" x14ac:dyDescent="0.25">
      <c r="B78" s="35">
        <v>37000</v>
      </c>
      <c r="C78" s="9">
        <f t="shared" si="5"/>
        <v>3832.0589304119912</v>
      </c>
      <c r="D78" s="78">
        <f t="shared" si="6"/>
        <v>2252.3241135174076</v>
      </c>
      <c r="E78" s="9">
        <f t="shared" si="7"/>
        <v>1747.1550358905272</v>
      </c>
      <c r="F78" s="78">
        <f t="shared" si="8"/>
        <v>1521.297273385492</v>
      </c>
      <c r="G78" s="9">
        <f t="shared" si="9"/>
        <v>1390.594481848774</v>
      </c>
    </row>
    <row r="79" spans="2:7" s="10" customFormat="1" ht="15.95" customHeight="1" thickBot="1" x14ac:dyDescent="0.25">
      <c r="B79" s="29">
        <v>38000</v>
      </c>
      <c r="C79" s="9">
        <f t="shared" si="5"/>
        <v>3935.6280906933966</v>
      </c>
      <c r="D79" s="78">
        <f t="shared" si="6"/>
        <v>2313.1977382070672</v>
      </c>
      <c r="E79" s="9">
        <f t="shared" si="7"/>
        <v>1794.375442265947</v>
      </c>
      <c r="F79" s="78">
        <f t="shared" si="8"/>
        <v>1562.4134159094244</v>
      </c>
      <c r="G79" s="9">
        <f t="shared" si="9"/>
        <v>1428.1781164933357</v>
      </c>
    </row>
    <row r="80" spans="2:7" s="10" customFormat="1" ht="15.95" customHeight="1" thickBot="1" x14ac:dyDescent="0.25">
      <c r="B80" s="29">
        <v>39000</v>
      </c>
      <c r="C80" s="9">
        <f t="shared" si="5"/>
        <v>4039.197250974802</v>
      </c>
      <c r="D80" s="78">
        <f t="shared" si="6"/>
        <v>2374.0713628967269</v>
      </c>
      <c r="E80" s="9">
        <f t="shared" si="7"/>
        <v>1841.5958486413665</v>
      </c>
      <c r="F80" s="78">
        <f t="shared" si="8"/>
        <v>1603.5295584333564</v>
      </c>
      <c r="G80" s="9">
        <f t="shared" si="9"/>
        <v>1465.7617511378971</v>
      </c>
    </row>
    <row r="81" spans="2:7" s="10" customFormat="1" ht="15.95" customHeight="1" thickBot="1" x14ac:dyDescent="0.25">
      <c r="B81" s="31">
        <v>40000</v>
      </c>
      <c r="C81" s="9">
        <f t="shared" si="5"/>
        <v>4142.766411256207</v>
      </c>
      <c r="D81" s="78">
        <f t="shared" si="6"/>
        <v>2434.9449875863866</v>
      </c>
      <c r="E81" s="9">
        <f t="shared" si="7"/>
        <v>1888.8162550167863</v>
      </c>
      <c r="F81" s="78">
        <f t="shared" si="8"/>
        <v>1644.6457009572887</v>
      </c>
      <c r="G81" s="9">
        <f t="shared" si="9"/>
        <v>1503.3453857824584</v>
      </c>
    </row>
    <row r="82" spans="2:7" s="10" customFormat="1" ht="15.95" customHeight="1" thickBot="1" x14ac:dyDescent="0.25">
      <c r="B82" s="79">
        <v>41000</v>
      </c>
      <c r="C82" s="9">
        <f t="shared" si="5"/>
        <v>4246.3355715376129</v>
      </c>
      <c r="D82" s="78">
        <f t="shared" si="6"/>
        <v>2495.8186122760467</v>
      </c>
      <c r="E82" s="9">
        <f t="shared" si="7"/>
        <v>1936.036661392206</v>
      </c>
      <c r="F82" s="78">
        <f t="shared" si="8"/>
        <v>1685.7618434812209</v>
      </c>
      <c r="G82" s="9">
        <f t="shared" si="9"/>
        <v>1540.9290204270201</v>
      </c>
    </row>
    <row r="83" spans="2:7" s="10" customFormat="1" ht="15.95" customHeight="1" thickBot="1" x14ac:dyDescent="0.25">
      <c r="B83" s="27">
        <v>42000</v>
      </c>
      <c r="C83" s="9">
        <f t="shared" si="5"/>
        <v>4349.9047318190178</v>
      </c>
      <c r="D83" s="78">
        <f t="shared" si="6"/>
        <v>2556.6922369657059</v>
      </c>
      <c r="E83" s="9">
        <f t="shared" si="7"/>
        <v>1983.2570677676256</v>
      </c>
      <c r="F83" s="78">
        <f t="shared" si="8"/>
        <v>1726.8779860051532</v>
      </c>
      <c r="G83" s="9">
        <f t="shared" si="9"/>
        <v>1578.5126550715815</v>
      </c>
    </row>
    <row r="84" spans="2:7" s="10" customFormat="1" ht="15.95" customHeight="1" thickBot="1" x14ac:dyDescent="0.25">
      <c r="B84" s="28">
        <v>45000</v>
      </c>
      <c r="C84" s="9">
        <f t="shared" si="5"/>
        <v>4660.6122126632326</v>
      </c>
      <c r="D84" s="78">
        <f t="shared" si="6"/>
        <v>2739.3131110346853</v>
      </c>
      <c r="E84" s="9">
        <f t="shared" si="7"/>
        <v>2124.9182868938847</v>
      </c>
      <c r="F84" s="78">
        <f t="shared" si="8"/>
        <v>1850.2264135769499</v>
      </c>
      <c r="G84" s="9">
        <f t="shared" si="9"/>
        <v>1691.263559005266</v>
      </c>
    </row>
    <row r="85" spans="2:7" s="10" customFormat="1" ht="15.95" customHeight="1" thickBot="1" x14ac:dyDescent="0.25">
      <c r="B85" s="35">
        <v>46500</v>
      </c>
      <c r="C85" s="9">
        <f t="shared" si="5"/>
        <v>4815.9659530853414</v>
      </c>
      <c r="D85" s="78">
        <f t="shared" si="6"/>
        <v>2830.6235480691744</v>
      </c>
      <c r="E85" s="9">
        <f t="shared" si="7"/>
        <v>2195.7488964570143</v>
      </c>
      <c r="F85" s="78">
        <f t="shared" si="8"/>
        <v>1911.9006273628484</v>
      </c>
      <c r="G85" s="9">
        <f t="shared" si="9"/>
        <v>1747.6390109721081</v>
      </c>
    </row>
    <row r="86" spans="2:7" s="10" customFormat="1" ht="15.95" customHeight="1" thickBot="1" x14ac:dyDescent="0.25">
      <c r="B86" s="31">
        <v>49000</v>
      </c>
      <c r="C86" s="9">
        <f t="shared" si="5"/>
        <v>5074.8888537888533</v>
      </c>
      <c r="D86" s="78">
        <f t="shared" si="6"/>
        <v>2982.807609793324</v>
      </c>
      <c r="E86" s="9">
        <f t="shared" si="7"/>
        <v>2313.7999123955633</v>
      </c>
      <c r="F86" s="78">
        <f t="shared" si="8"/>
        <v>2014.6909836726788</v>
      </c>
      <c r="G86" s="9">
        <f t="shared" si="9"/>
        <v>1841.5980975835116</v>
      </c>
    </row>
    <row r="87" spans="2:7" s="10" customFormat="1" ht="13.5" thickBot="1" x14ac:dyDescent="0.25">
      <c r="B87" s="27">
        <v>55000</v>
      </c>
      <c r="C87" s="9">
        <f t="shared" si="5"/>
        <v>5696.3038154772839</v>
      </c>
      <c r="D87" s="78">
        <f t="shared" si="6"/>
        <v>3348.049357931282</v>
      </c>
      <c r="E87" s="9">
        <f t="shared" si="7"/>
        <v>2597.1223506480806</v>
      </c>
      <c r="F87" s="78">
        <f t="shared" si="8"/>
        <v>2261.3878388162721</v>
      </c>
      <c r="G87" s="9">
        <f t="shared" si="9"/>
        <v>2067.0999054508802</v>
      </c>
    </row>
    <row r="88" spans="2:7" ht="15.75" thickBot="1" x14ac:dyDescent="0.3">
      <c r="B88" s="35">
        <v>60000</v>
      </c>
      <c r="C88" s="9">
        <f t="shared" si="5"/>
        <v>6214.1496168843105</v>
      </c>
      <c r="D88" s="78">
        <f t="shared" si="6"/>
        <v>3652.4174813795803</v>
      </c>
      <c r="E88" s="9">
        <f t="shared" si="7"/>
        <v>2833.2243825251794</v>
      </c>
      <c r="F88" s="78">
        <f t="shared" si="8"/>
        <v>2466.968551435933</v>
      </c>
      <c r="G88" s="9">
        <f t="shared" si="9"/>
        <v>2255.0180786736878</v>
      </c>
    </row>
    <row r="89" spans="2:7" ht="15.75" thickBot="1" x14ac:dyDescent="0.3">
      <c r="B89" s="35">
        <v>65000</v>
      </c>
      <c r="C89" s="9">
        <f t="shared" si="5"/>
        <v>6731.9954182913361</v>
      </c>
      <c r="D89" s="78">
        <f t="shared" si="6"/>
        <v>3956.7856048278786</v>
      </c>
      <c r="E89" s="9">
        <f t="shared" si="7"/>
        <v>3069.3264144022774</v>
      </c>
      <c r="F89" s="78">
        <f t="shared" si="8"/>
        <v>2672.5492640555944</v>
      </c>
      <c r="G89" s="9">
        <f t="shared" si="9"/>
        <v>2442.9362518964949</v>
      </c>
    </row>
    <row r="90" spans="2:7" ht="15.75" thickBot="1" x14ac:dyDescent="0.3">
      <c r="B90" s="31">
        <v>68000</v>
      </c>
      <c r="C90" s="9">
        <f t="shared" si="5"/>
        <v>7042.7028991355528</v>
      </c>
      <c r="D90" s="78">
        <f t="shared" si="6"/>
        <v>4139.4064788968572</v>
      </c>
      <c r="E90" s="9">
        <f t="shared" si="7"/>
        <v>3210.9876335285367</v>
      </c>
      <c r="F90" s="78">
        <f t="shared" si="8"/>
        <v>2795.8976916273909</v>
      </c>
      <c r="G90" s="9">
        <f t="shared" si="9"/>
        <v>2555.6871558301796</v>
      </c>
    </row>
    <row r="91" spans="2:7" ht="15.75" thickBot="1" x14ac:dyDescent="0.3">
      <c r="B91" s="28">
        <v>72000</v>
      </c>
      <c r="C91" s="9">
        <f t="shared" si="5"/>
        <v>7456.9795402611726</v>
      </c>
      <c r="D91" s="78">
        <f t="shared" si="6"/>
        <v>4382.9009776554967</v>
      </c>
      <c r="E91" s="9">
        <f t="shared" si="7"/>
        <v>3399.8692590302153</v>
      </c>
      <c r="F91" s="78">
        <f t="shared" si="8"/>
        <v>2960.3622617231199</v>
      </c>
      <c r="G91" s="9">
        <f t="shared" si="9"/>
        <v>2706.0216944084254</v>
      </c>
    </row>
    <row r="92" spans="2:7" ht="15.75" thickBot="1" x14ac:dyDescent="0.3">
      <c r="B92" s="35">
        <v>80000</v>
      </c>
      <c r="C92" s="9">
        <f t="shared" si="5"/>
        <v>8285.532822512414</v>
      </c>
      <c r="D92" s="78">
        <f t="shared" si="6"/>
        <v>4869.8899751727731</v>
      </c>
      <c r="E92" s="9">
        <f t="shared" si="7"/>
        <v>3777.6325100335725</v>
      </c>
      <c r="F92" s="78">
        <f t="shared" si="8"/>
        <v>3289.2914019145774</v>
      </c>
      <c r="G92" s="9">
        <f t="shared" si="9"/>
        <v>3006.6907715649168</v>
      </c>
    </row>
    <row r="93" spans="2:7" ht="15.75" thickBot="1" x14ac:dyDescent="0.3">
      <c r="B93" s="29">
        <v>85000</v>
      </c>
      <c r="C93" s="9">
        <f t="shared" si="5"/>
        <v>8803.3786239194396</v>
      </c>
      <c r="D93" s="78">
        <f t="shared" si="6"/>
        <v>5174.2580986210714</v>
      </c>
      <c r="E93" s="9">
        <f t="shared" si="7"/>
        <v>4013.7345419106709</v>
      </c>
      <c r="F93" s="78">
        <f t="shared" si="8"/>
        <v>3494.8721145342383</v>
      </c>
      <c r="G93" s="9">
        <f t="shared" si="9"/>
        <v>3194.6089447877239</v>
      </c>
    </row>
    <row r="94" spans="2:7" ht="15.75" thickBot="1" x14ac:dyDescent="0.3">
      <c r="B94" s="24">
        <v>90000</v>
      </c>
      <c r="C94" s="9">
        <f t="shared" si="5"/>
        <v>9321.2244253264653</v>
      </c>
      <c r="D94" s="78">
        <f t="shared" si="6"/>
        <v>5478.6262220693707</v>
      </c>
      <c r="E94" s="9">
        <f t="shared" si="7"/>
        <v>4249.8365737877693</v>
      </c>
      <c r="F94" s="78">
        <f t="shared" si="8"/>
        <v>3700.4528271538998</v>
      </c>
      <c r="G94" s="9">
        <f t="shared" si="9"/>
        <v>3382.5271180105319</v>
      </c>
    </row>
    <row r="95" spans="2:7" ht="15.75" thickBot="1" x14ac:dyDescent="0.3">
      <c r="B95" s="28">
        <v>95000</v>
      </c>
      <c r="C95" s="9">
        <f t="shared" si="5"/>
        <v>9839.0702267334927</v>
      </c>
      <c r="D95" s="78">
        <f t="shared" si="6"/>
        <v>5782.9943455176681</v>
      </c>
      <c r="E95" s="9">
        <f t="shared" si="7"/>
        <v>4485.9386056648673</v>
      </c>
      <c r="F95" s="78">
        <f t="shared" si="8"/>
        <v>3906.0335397735607</v>
      </c>
      <c r="G95" s="9">
        <f t="shared" si="9"/>
        <v>3570.445291233339</v>
      </c>
    </row>
    <row r="96" spans="2:7" ht="15.75" thickBot="1" x14ac:dyDescent="0.3">
      <c r="B96" s="31">
        <v>100000</v>
      </c>
      <c r="C96" s="9">
        <f t="shared" si="5"/>
        <v>10356.916028140518</v>
      </c>
      <c r="D96" s="78">
        <f t="shared" si="6"/>
        <v>6087.3624689659673</v>
      </c>
      <c r="E96" s="9">
        <f t="shared" si="7"/>
        <v>4722.0406375419652</v>
      </c>
      <c r="F96" s="78">
        <f t="shared" si="8"/>
        <v>4111.6142523932212</v>
      </c>
      <c r="G96" s="9">
        <f t="shared" si="9"/>
        <v>3758.3634644561466</v>
      </c>
    </row>
    <row r="97" spans="2:7" ht="15.75" thickBot="1" x14ac:dyDescent="0.3">
      <c r="B97" s="28">
        <v>105000</v>
      </c>
      <c r="C97" s="9">
        <f t="shared" si="5"/>
        <v>10874.761829547542</v>
      </c>
      <c r="D97" s="78">
        <f t="shared" si="6"/>
        <v>6391.7305924142647</v>
      </c>
      <c r="E97" s="9">
        <f t="shared" si="7"/>
        <v>4958.1426694190641</v>
      </c>
      <c r="F97" s="78">
        <f t="shared" si="8"/>
        <v>4317.1949650128827</v>
      </c>
      <c r="G97" s="9">
        <f t="shared" si="9"/>
        <v>3946.2816376789538</v>
      </c>
    </row>
    <row r="98" spans="2:7" ht="15.75" thickBot="1" x14ac:dyDescent="0.3">
      <c r="B98" s="31">
        <v>109000</v>
      </c>
      <c r="C98" s="9">
        <f t="shared" si="5"/>
        <v>11289.038470673164</v>
      </c>
      <c r="D98" s="78">
        <f t="shared" si="6"/>
        <v>6635.2250911729043</v>
      </c>
      <c r="E98" s="9">
        <f t="shared" si="7"/>
        <v>5147.0242949207432</v>
      </c>
      <c r="F98" s="78">
        <f t="shared" si="8"/>
        <v>4481.6595351086116</v>
      </c>
      <c r="G98" s="9">
        <f t="shared" si="9"/>
        <v>4096.6161762571992</v>
      </c>
    </row>
    <row r="99" spans="2:7" ht="15.75" thickBot="1" x14ac:dyDescent="0.3">
      <c r="B99" s="28">
        <v>115000</v>
      </c>
      <c r="C99" s="9">
        <f t="shared" si="5"/>
        <v>11910.453432361595</v>
      </c>
      <c r="D99" s="78">
        <f t="shared" si="6"/>
        <v>7000.4668393108614</v>
      </c>
      <c r="E99" s="9">
        <f t="shared" si="7"/>
        <v>5430.3467331732609</v>
      </c>
      <c r="F99" s="78">
        <f t="shared" si="8"/>
        <v>4728.3563902522046</v>
      </c>
      <c r="G99" s="9">
        <f t="shared" si="9"/>
        <v>4322.1179841245685</v>
      </c>
    </row>
    <row r="100" spans="2:7" ht="15.75" thickBot="1" x14ac:dyDescent="0.3">
      <c r="B100" s="31">
        <v>120000</v>
      </c>
      <c r="C100" s="9">
        <f t="shared" si="5"/>
        <v>12428.299233768621</v>
      </c>
      <c r="D100" s="78">
        <f t="shared" si="6"/>
        <v>7304.8349627591606</v>
      </c>
      <c r="E100" s="9">
        <f t="shared" si="7"/>
        <v>5666.4487650503588</v>
      </c>
      <c r="F100" s="78">
        <f t="shared" si="8"/>
        <v>4933.937102871866</v>
      </c>
      <c r="G100" s="9">
        <f t="shared" si="9"/>
        <v>4510.0361573473756</v>
      </c>
    </row>
    <row r="101" spans="2:7" ht="15.75" thickBot="1" x14ac:dyDescent="0.3">
      <c r="B101" s="28">
        <v>125000</v>
      </c>
      <c r="C101" s="9">
        <f t="shared" si="5"/>
        <v>12946.145035175648</v>
      </c>
      <c r="D101" s="78">
        <f t="shared" si="6"/>
        <v>7609.2030862074589</v>
      </c>
      <c r="E101" s="9">
        <f t="shared" si="7"/>
        <v>5902.5507969274568</v>
      </c>
      <c r="F101" s="78">
        <f t="shared" si="8"/>
        <v>5139.5178154915275</v>
      </c>
      <c r="G101" s="9">
        <f t="shared" si="9"/>
        <v>4697.9543305701827</v>
      </c>
    </row>
    <row r="102" spans="2:7" ht="15.75" thickBot="1" x14ac:dyDescent="0.3">
      <c r="B102" s="31">
        <v>130000</v>
      </c>
      <c r="C102" s="9">
        <f t="shared" si="5"/>
        <v>13463.990836582672</v>
      </c>
      <c r="D102" s="78">
        <f t="shared" si="6"/>
        <v>7913.5712096557572</v>
      </c>
      <c r="E102" s="9">
        <f t="shared" si="7"/>
        <v>6138.6528288045547</v>
      </c>
      <c r="F102" s="78">
        <f t="shared" si="8"/>
        <v>5345.0985281111889</v>
      </c>
      <c r="G102" s="9">
        <f t="shared" si="9"/>
        <v>4885.8725037929898</v>
      </c>
    </row>
    <row r="103" spans="2:7" ht="15.75" thickBot="1" x14ac:dyDescent="0.3">
      <c r="B103" s="31">
        <v>135000</v>
      </c>
      <c r="C103" s="9">
        <f t="shared" si="5"/>
        <v>13981.8366379897</v>
      </c>
      <c r="D103" s="78">
        <f t="shared" si="6"/>
        <v>8217.9393331040555</v>
      </c>
      <c r="E103" s="9">
        <f t="shared" si="7"/>
        <v>6374.7548606816545</v>
      </c>
      <c r="F103" s="78">
        <f t="shared" si="8"/>
        <v>5550.6792407308494</v>
      </c>
      <c r="G103" s="9">
        <f t="shared" si="9"/>
        <v>5073.7906770157979</v>
      </c>
    </row>
    <row r="104" spans="2:7" ht="15.75" thickBot="1" x14ac:dyDescent="0.3">
      <c r="B104" s="28">
        <v>140000</v>
      </c>
      <c r="C104" s="9">
        <f t="shared" si="5"/>
        <v>14499.682439396725</v>
      </c>
      <c r="D104" s="78">
        <f t="shared" si="6"/>
        <v>8522.307456552353</v>
      </c>
      <c r="E104" s="9">
        <f t="shared" si="7"/>
        <v>6610.8568925587515</v>
      </c>
      <c r="F104" s="78">
        <f t="shared" si="8"/>
        <v>5756.2599533505108</v>
      </c>
      <c r="G104" s="9">
        <f t="shared" si="9"/>
        <v>5261.708850238605</v>
      </c>
    </row>
    <row r="105" spans="2:7" ht="15.75" thickBot="1" x14ac:dyDescent="0.3">
      <c r="B105" s="31">
        <v>145000</v>
      </c>
      <c r="C105" s="9">
        <f t="shared" si="5"/>
        <v>15017.528240803751</v>
      </c>
      <c r="D105" s="78">
        <f t="shared" si="6"/>
        <v>8826.6755800006522</v>
      </c>
      <c r="E105" s="9">
        <f t="shared" si="7"/>
        <v>6846.9589244358503</v>
      </c>
      <c r="F105" s="78">
        <f t="shared" si="8"/>
        <v>5961.8406659701723</v>
      </c>
      <c r="G105" s="9">
        <f t="shared" si="9"/>
        <v>5449.6270234614121</v>
      </c>
    </row>
    <row r="106" spans="2:7" ht="15.75" thickBot="1" x14ac:dyDescent="0.3">
      <c r="B106" s="31">
        <v>150000</v>
      </c>
      <c r="C106" s="9">
        <f t="shared" si="5"/>
        <v>15535.374042210775</v>
      </c>
      <c r="D106" s="78">
        <f t="shared" si="6"/>
        <v>9131.0437034489496</v>
      </c>
      <c r="E106" s="9">
        <f t="shared" si="7"/>
        <v>7083.0609563129483</v>
      </c>
      <c r="F106" s="78">
        <f t="shared" si="8"/>
        <v>6167.4213785898319</v>
      </c>
      <c r="G106" s="9">
        <f t="shared" si="9"/>
        <v>5637.5451966842193</v>
      </c>
    </row>
    <row r="107" spans="2:7" ht="15.75" thickBot="1" x14ac:dyDescent="0.3">
      <c r="B107" s="28">
        <v>155000</v>
      </c>
      <c r="C107" s="9">
        <f t="shared" si="5"/>
        <v>16053.219843617802</v>
      </c>
      <c r="D107" s="78">
        <f t="shared" si="6"/>
        <v>9435.4118268972488</v>
      </c>
      <c r="E107" s="9">
        <f t="shared" si="7"/>
        <v>7319.1629881900471</v>
      </c>
      <c r="F107" s="78">
        <f t="shared" si="8"/>
        <v>6373.0020912094933</v>
      </c>
      <c r="G107" s="9">
        <f t="shared" si="9"/>
        <v>5825.4633699070264</v>
      </c>
    </row>
    <row r="108" spans="2:7" ht="15.75" thickBot="1" x14ac:dyDescent="0.3">
      <c r="B108" s="31">
        <v>160000</v>
      </c>
      <c r="C108" s="9">
        <f t="shared" si="5"/>
        <v>16571.065645024828</v>
      </c>
      <c r="D108" s="78">
        <f t="shared" si="6"/>
        <v>9739.7799503455462</v>
      </c>
      <c r="E108" s="9">
        <f t="shared" si="7"/>
        <v>7555.2650200671451</v>
      </c>
      <c r="F108" s="78">
        <f t="shared" si="8"/>
        <v>6578.5828038291547</v>
      </c>
      <c r="G108" s="9">
        <f t="shared" si="9"/>
        <v>6013.3815431298335</v>
      </c>
    </row>
    <row r="109" spans="2:7" ht="15.75" thickBot="1" x14ac:dyDescent="0.3">
      <c r="B109" s="31">
        <v>165000</v>
      </c>
      <c r="C109" s="9">
        <f t="shared" si="5"/>
        <v>17088.911446431852</v>
      </c>
      <c r="D109" s="78">
        <f t="shared" si="6"/>
        <v>10044.148073793845</v>
      </c>
      <c r="E109" s="9">
        <f t="shared" si="7"/>
        <v>7791.3670519442439</v>
      </c>
      <c r="F109" s="78">
        <f t="shared" si="8"/>
        <v>6784.1635164488162</v>
      </c>
      <c r="G109" s="9">
        <f t="shared" si="9"/>
        <v>6201.2997163526406</v>
      </c>
    </row>
    <row r="110" spans="2:7" ht="15.75" thickBot="1" x14ac:dyDescent="0.3">
      <c r="B110" s="28">
        <v>170000</v>
      </c>
      <c r="C110" s="9">
        <f t="shared" si="5"/>
        <v>17606.757247838879</v>
      </c>
      <c r="D110" s="78">
        <f t="shared" si="6"/>
        <v>10348.516197242143</v>
      </c>
      <c r="E110" s="9">
        <f t="shared" si="7"/>
        <v>8027.4690838213419</v>
      </c>
      <c r="F110" s="78">
        <f t="shared" si="8"/>
        <v>6989.7442290684767</v>
      </c>
      <c r="G110" s="9">
        <f t="shared" si="9"/>
        <v>6389.2178895754478</v>
      </c>
    </row>
    <row r="111" spans="2:7" ht="15.75" thickBot="1" x14ac:dyDescent="0.3">
      <c r="B111" s="31">
        <v>175000</v>
      </c>
      <c r="C111" s="9">
        <f t="shared" si="5"/>
        <v>18124.603049245907</v>
      </c>
      <c r="D111" s="78">
        <f t="shared" si="6"/>
        <v>10652.884320690442</v>
      </c>
      <c r="E111" s="9">
        <f t="shared" si="7"/>
        <v>8263.5711156984398</v>
      </c>
      <c r="F111" s="78">
        <f t="shared" si="8"/>
        <v>7195.324941688139</v>
      </c>
      <c r="G111" s="9">
        <f t="shared" si="9"/>
        <v>6577.1360627982558</v>
      </c>
    </row>
    <row r="112" spans="2:7" ht="15.75" thickBot="1" x14ac:dyDescent="0.3">
      <c r="B112" s="31">
        <v>180000</v>
      </c>
      <c r="C112" s="9">
        <f t="shared" si="5"/>
        <v>18642.448850652931</v>
      </c>
      <c r="D112" s="78">
        <f t="shared" si="6"/>
        <v>10957.252444138741</v>
      </c>
      <c r="E112" s="9">
        <f t="shared" si="7"/>
        <v>8499.6731475755387</v>
      </c>
      <c r="F112" s="78">
        <f t="shared" si="8"/>
        <v>7400.9056543077995</v>
      </c>
      <c r="G112" s="9">
        <f t="shared" si="9"/>
        <v>6765.0542360210638</v>
      </c>
    </row>
    <row r="113" spans="2:8" ht="15.75" thickBot="1" x14ac:dyDescent="0.3">
      <c r="B113" s="28">
        <v>185000</v>
      </c>
      <c r="C113" s="9">
        <f t="shared" si="5"/>
        <v>19160.294652059958</v>
      </c>
      <c r="D113" s="78">
        <f t="shared" si="6"/>
        <v>11261.620567587039</v>
      </c>
      <c r="E113" s="9">
        <f t="shared" si="7"/>
        <v>8735.7751794526357</v>
      </c>
      <c r="F113" s="78">
        <f t="shared" si="8"/>
        <v>7606.48636692746</v>
      </c>
      <c r="G113" s="9">
        <f t="shared" si="9"/>
        <v>6952.972409243871</v>
      </c>
    </row>
    <row r="114" spans="2:8" ht="15.75" thickBot="1" x14ac:dyDescent="0.3">
      <c r="B114" s="31">
        <v>190000</v>
      </c>
      <c r="C114" s="9">
        <f t="shared" si="5"/>
        <v>19678.140453466985</v>
      </c>
      <c r="D114" s="78">
        <f t="shared" si="6"/>
        <v>11565.988691035336</v>
      </c>
      <c r="E114" s="9">
        <f t="shared" si="7"/>
        <v>8971.8772113297346</v>
      </c>
      <c r="F114" s="78">
        <f t="shared" si="8"/>
        <v>7812.0670795471215</v>
      </c>
      <c r="G114" s="9">
        <f t="shared" si="9"/>
        <v>7140.8905824666781</v>
      </c>
    </row>
    <row r="115" spans="2:8" ht="15.75" thickBot="1" x14ac:dyDescent="0.3">
      <c r="B115" s="31">
        <v>195000</v>
      </c>
      <c r="C115" s="9">
        <f t="shared" si="5"/>
        <v>20195.986254874009</v>
      </c>
      <c r="D115" s="78">
        <f t="shared" si="6"/>
        <v>11870.356814483635</v>
      </c>
      <c r="E115" s="9">
        <f t="shared" si="7"/>
        <v>9207.9792432068334</v>
      </c>
      <c r="F115" s="78">
        <f t="shared" si="8"/>
        <v>8017.6477921667829</v>
      </c>
      <c r="G115" s="9">
        <f t="shared" si="9"/>
        <v>7328.8087556894852</v>
      </c>
    </row>
    <row r="116" spans="2:8" ht="15.75" thickBot="1" x14ac:dyDescent="0.3">
      <c r="B116" s="30">
        <v>200000</v>
      </c>
      <c r="C116" s="9">
        <f t="shared" si="5"/>
        <v>20713.832056281037</v>
      </c>
      <c r="D116" s="78">
        <f t="shared" si="6"/>
        <v>12174.724937931935</v>
      </c>
      <c r="E116" s="9">
        <f t="shared" si="7"/>
        <v>9444.0812750839304</v>
      </c>
      <c r="F116" s="78">
        <f t="shared" si="8"/>
        <v>8223.2285047864425</v>
      </c>
      <c r="G116" s="9">
        <f t="shared" si="9"/>
        <v>7516.7269289122933</v>
      </c>
    </row>
    <row r="118" spans="2:8" x14ac:dyDescent="0.25">
      <c r="G118" s="11"/>
      <c r="H118" s="11"/>
    </row>
  </sheetData>
  <mergeCells count="6">
    <mergeCell ref="C71:F71"/>
    <mergeCell ref="C4:G4"/>
    <mergeCell ref="C5:G5"/>
    <mergeCell ref="B6:G6"/>
    <mergeCell ref="C7:F7"/>
    <mergeCell ref="B70:G70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04F19-A7F4-4E17-ADA7-C208F88C9726}">
  <dimension ref="C1:O49"/>
  <sheetViews>
    <sheetView topLeftCell="F10" workbookViewId="0">
      <selection activeCell="P21" sqref="P21"/>
    </sheetView>
  </sheetViews>
  <sheetFormatPr defaultRowHeight="15" x14ac:dyDescent="0.25"/>
  <cols>
    <col min="3" max="7" width="12.7109375" customWidth="1"/>
    <col min="8" max="8" width="6.7109375" customWidth="1"/>
    <col min="9" max="9" width="18.85546875" style="49" customWidth="1"/>
    <col min="10" max="15" width="17" style="49" customWidth="1"/>
  </cols>
  <sheetData>
    <row r="1" spans="3:15" x14ac:dyDescent="0.25">
      <c r="K1" s="49" t="s">
        <v>21</v>
      </c>
    </row>
    <row r="2" spans="3:15" x14ac:dyDescent="0.25">
      <c r="K2" s="54">
        <f>K4+0.03</f>
        <v>0.39</v>
      </c>
      <c r="L2" s="49">
        <f>PMT(K2/12,48,-I4)</f>
        <v>248.53921929437166</v>
      </c>
    </row>
    <row r="3" spans="3:15" x14ac:dyDescent="0.25">
      <c r="I3" s="44"/>
      <c r="J3" s="50" t="s">
        <v>20</v>
      </c>
      <c r="K3" s="44" t="s">
        <v>15</v>
      </c>
      <c r="L3" s="45" t="s">
        <v>16</v>
      </c>
      <c r="M3" s="44"/>
      <c r="N3" s="44"/>
      <c r="O3" s="44"/>
    </row>
    <row r="4" spans="3:15" x14ac:dyDescent="0.25">
      <c r="I4" s="46">
        <v>6000</v>
      </c>
      <c r="J4" s="51">
        <v>48</v>
      </c>
      <c r="K4" s="55">
        <v>0.36</v>
      </c>
      <c r="L4" s="56">
        <v>0.3251</v>
      </c>
      <c r="M4" s="44"/>
      <c r="N4" s="44"/>
      <c r="O4" s="44"/>
    </row>
    <row r="5" spans="3:15" x14ac:dyDescent="0.25">
      <c r="I5" s="44" t="s">
        <v>11</v>
      </c>
      <c r="J5" s="44" t="s">
        <v>12</v>
      </c>
      <c r="K5" s="44" t="s">
        <v>14</v>
      </c>
      <c r="L5" s="45" t="s">
        <v>17</v>
      </c>
      <c r="M5" s="44" t="s">
        <v>18</v>
      </c>
      <c r="N5" s="44" t="s">
        <v>19</v>
      </c>
      <c r="O5" s="44" t="s">
        <v>13</v>
      </c>
    </row>
    <row r="6" spans="3:15" x14ac:dyDescent="0.25">
      <c r="C6" s="10">
        <v>15000</v>
      </c>
      <c r="D6" s="42">
        <f>0.353</f>
        <v>0.35299999999999998</v>
      </c>
      <c r="E6" s="42">
        <f>0.3251</f>
        <v>0.3251</v>
      </c>
      <c r="F6" s="42">
        <f>D6-E6</f>
        <v>2.789999999999998E-2</v>
      </c>
      <c r="G6" s="10"/>
      <c r="I6" s="44">
        <f>PMT(K4/12,J4,-I4)/0.97</f>
        <v>244.81097199000695</v>
      </c>
      <c r="J6" s="44">
        <f>PMT(K4/12,J4,-I4)</f>
        <v>237.46664283030674</v>
      </c>
      <c r="K6" s="44">
        <f>I6*0.97</f>
        <v>237.46664283030674</v>
      </c>
      <c r="L6" s="45">
        <f>PMT(L4/12,J4,-I4)</f>
        <v>224.88235055117607</v>
      </c>
      <c r="M6" s="44">
        <f>K6-L6</f>
        <v>12.584292279130665</v>
      </c>
      <c r="N6" s="44">
        <f>M6*J4</f>
        <v>604.04602939827191</v>
      </c>
      <c r="O6" s="44">
        <f>0.08*I4</f>
        <v>480</v>
      </c>
    </row>
    <row r="7" spans="3:15" x14ac:dyDescent="0.25">
      <c r="C7" s="10"/>
      <c r="D7" s="42"/>
      <c r="E7" s="42"/>
      <c r="F7" s="42"/>
      <c r="G7" s="10"/>
      <c r="I7" s="52"/>
      <c r="J7" s="52"/>
      <c r="K7" s="52"/>
      <c r="L7" s="52"/>
      <c r="M7" s="52"/>
      <c r="N7" s="52"/>
      <c r="O7" s="52"/>
    </row>
    <row r="8" spans="3:15" x14ac:dyDescent="0.25">
      <c r="C8" s="10"/>
      <c r="D8" s="42"/>
      <c r="E8" s="42"/>
      <c r="F8" s="42"/>
      <c r="G8" s="10"/>
      <c r="I8" s="52" t="s">
        <v>22</v>
      </c>
      <c r="J8" s="52">
        <f>PMT(0.3551/12,48,-I4)/0.97</f>
        <v>242.96934760731597</v>
      </c>
      <c r="K8" s="52">
        <f>J8*0.03</f>
        <v>7.2890804282194788</v>
      </c>
      <c r="L8" s="53">
        <f>J8-K8</f>
        <v>235.68026717909649</v>
      </c>
      <c r="M8" s="52">
        <f>PMT(0.3251/12,48,-I4)</f>
        <v>224.88235055117607</v>
      </c>
      <c r="N8" s="52">
        <f>L8-M8</f>
        <v>10.797916627920415</v>
      </c>
      <c r="O8" s="52">
        <f>I4*0.08</f>
        <v>480</v>
      </c>
    </row>
    <row r="9" spans="3:15" x14ac:dyDescent="0.25">
      <c r="C9" s="10"/>
      <c r="D9" s="42"/>
      <c r="E9" s="42"/>
      <c r="F9" s="42"/>
      <c r="G9" s="10"/>
      <c r="I9" s="52"/>
      <c r="J9" s="52"/>
      <c r="K9" s="52"/>
      <c r="L9" s="52"/>
      <c r="M9" s="52"/>
      <c r="N9" s="52">
        <f>N8*48</f>
        <v>518.29999814017992</v>
      </c>
      <c r="O9" s="52"/>
    </row>
    <row r="10" spans="3:15" x14ac:dyDescent="0.25">
      <c r="C10" s="10"/>
      <c r="D10" s="10"/>
      <c r="E10" s="10"/>
      <c r="F10" s="10"/>
      <c r="G10" s="10"/>
    </row>
    <row r="11" spans="3:15" x14ac:dyDescent="0.25">
      <c r="C11" s="40" t="s">
        <v>9</v>
      </c>
      <c r="D11" s="41" t="s">
        <v>8</v>
      </c>
      <c r="E11" s="10" t="s">
        <v>10</v>
      </c>
      <c r="F11" s="10"/>
      <c r="G11" s="10"/>
      <c r="I11" s="44"/>
      <c r="J11" s="50" t="s">
        <v>20</v>
      </c>
      <c r="K11" s="44" t="s">
        <v>15</v>
      </c>
      <c r="L11" s="45" t="s">
        <v>16</v>
      </c>
      <c r="M11" s="44"/>
      <c r="N11" s="44"/>
      <c r="O11" s="44"/>
    </row>
    <row r="12" spans="3:15" x14ac:dyDescent="0.25">
      <c r="C12" s="41">
        <f>PMT(0.3251/12,48,-C6)</f>
        <v>562.20587637794017</v>
      </c>
      <c r="D12" s="41">
        <f>PMT(0.3251/12,48,-C6)/0.97</f>
        <v>579.59368698756725</v>
      </c>
      <c r="E12" s="10">
        <f>0.08*15000</f>
        <v>1200</v>
      </c>
      <c r="F12" s="43">
        <f>8%/48</f>
        <v>1.6666666666666668E-3</v>
      </c>
      <c r="G12" s="10"/>
      <c r="I12" s="46">
        <v>10000</v>
      </c>
      <c r="J12" s="51">
        <v>48</v>
      </c>
      <c r="K12" s="47">
        <v>0.35299999999999998</v>
      </c>
      <c r="L12" s="48">
        <v>0.3251</v>
      </c>
      <c r="M12" s="44"/>
      <c r="N12" s="44"/>
      <c r="O12" s="44"/>
    </row>
    <row r="13" spans="3:15" x14ac:dyDescent="0.25">
      <c r="C13" s="41">
        <f>PMT(0.353/12,48,-15000)</f>
        <v>587.2915234648093</v>
      </c>
      <c r="D13" s="10"/>
      <c r="E13" s="10"/>
      <c r="F13" s="10"/>
      <c r="G13" s="10"/>
      <c r="I13" s="44" t="s">
        <v>11</v>
      </c>
      <c r="J13" s="44" t="s">
        <v>12</v>
      </c>
      <c r="K13" s="44" t="s">
        <v>14</v>
      </c>
      <c r="L13" s="45" t="s">
        <v>17</v>
      </c>
      <c r="M13" s="44" t="s">
        <v>18</v>
      </c>
      <c r="N13" s="44" t="s">
        <v>19</v>
      </c>
      <c r="O13" s="44" t="s">
        <v>13</v>
      </c>
    </row>
    <row r="14" spans="3:15" x14ac:dyDescent="0.25">
      <c r="C14" s="10"/>
      <c r="D14" s="10"/>
      <c r="E14" s="10"/>
      <c r="F14" s="10"/>
      <c r="G14" s="10"/>
      <c r="I14" s="44">
        <f>PMT(K12/12,J12,-I12)/0.97</f>
        <v>403.6367858864669</v>
      </c>
      <c r="J14" s="44">
        <f>PMT(K12/12,J12,-I12)</f>
        <v>391.52768230987289</v>
      </c>
      <c r="K14" s="44">
        <f>I14*0.97</f>
        <v>391.52768230987289</v>
      </c>
      <c r="L14" s="45">
        <f>PMT(L12/12,J12,-I12)</f>
        <v>374.8039175852935</v>
      </c>
      <c r="M14" s="44">
        <f>K14-L14</f>
        <v>16.723764724579382</v>
      </c>
      <c r="N14" s="44">
        <f>M14*J12</f>
        <v>802.74070677981035</v>
      </c>
      <c r="O14" s="44">
        <f>0.08*I12</f>
        <v>800</v>
      </c>
    </row>
    <row r="15" spans="3:15" x14ac:dyDescent="0.25">
      <c r="C15" s="10"/>
      <c r="D15" s="10"/>
      <c r="E15" s="10">
        <f>PMT(D6/12,48,-C6)/0.97</f>
        <v>605.45517882970034</v>
      </c>
      <c r="F15" s="10">
        <f>E15*0.97</f>
        <v>587.2915234648093</v>
      </c>
      <c r="G15" s="10"/>
    </row>
    <row r="16" spans="3:15" x14ac:dyDescent="0.25">
      <c r="C16" s="10"/>
      <c r="D16" s="10"/>
      <c r="E16" s="10"/>
      <c r="F16" s="10"/>
      <c r="G16" s="10"/>
      <c r="I16" s="52" t="s">
        <v>22</v>
      </c>
      <c r="J16" s="52">
        <f>PMT(0.3551/12,48,-I12)/0.97</f>
        <v>404.94891267885993</v>
      </c>
      <c r="K16" s="52">
        <f>J16*0.03</f>
        <v>12.148467380365798</v>
      </c>
      <c r="L16" s="53">
        <f>J16-K16</f>
        <v>392.80044529849414</v>
      </c>
      <c r="M16" s="52">
        <f>PMT(0.3251/12,48,-I12)</f>
        <v>374.8039175852935</v>
      </c>
      <c r="N16" s="52">
        <f>L16-M16</f>
        <v>17.996527713200635</v>
      </c>
      <c r="O16" s="52">
        <f>I12*0.08</f>
        <v>800</v>
      </c>
    </row>
    <row r="17" spans="3:15" x14ac:dyDescent="0.25">
      <c r="C17" s="10"/>
      <c r="D17" s="10"/>
      <c r="E17" s="10"/>
      <c r="F17" s="10"/>
      <c r="G17" s="10"/>
      <c r="J17" s="52"/>
      <c r="K17" s="52"/>
      <c r="L17" s="52"/>
      <c r="M17" s="52"/>
      <c r="N17" s="52">
        <f>N16*48</f>
        <v>863.83333023363048</v>
      </c>
      <c r="O17" s="52"/>
    </row>
    <row r="18" spans="3:15" x14ac:dyDescent="0.25">
      <c r="C18" s="10"/>
      <c r="D18" s="10"/>
      <c r="E18" s="10">
        <f>PMT(D6/12,48,-C6)</f>
        <v>587.2915234648093</v>
      </c>
      <c r="F18" s="10"/>
      <c r="G18" s="10"/>
    </row>
    <row r="19" spans="3:15" x14ac:dyDescent="0.25">
      <c r="C19" s="10"/>
      <c r="D19" s="10"/>
      <c r="E19" s="10"/>
      <c r="F19" s="10"/>
      <c r="G19" s="10"/>
      <c r="I19" s="129"/>
      <c r="J19" s="130" t="s">
        <v>20</v>
      </c>
      <c r="K19" s="129" t="s">
        <v>15</v>
      </c>
      <c r="L19" s="129" t="s">
        <v>16</v>
      </c>
      <c r="M19" s="129"/>
      <c r="N19" s="129"/>
      <c r="O19" s="129"/>
    </row>
    <row r="20" spans="3:15" x14ac:dyDescent="0.25">
      <c r="C20" s="10"/>
      <c r="D20" s="10"/>
      <c r="E20" s="10"/>
      <c r="F20" s="10"/>
      <c r="G20" s="10">
        <f>37.5-34.51</f>
        <v>2.990000000000002</v>
      </c>
      <c r="I20" s="131">
        <v>15000</v>
      </c>
      <c r="J20" s="132">
        <v>48</v>
      </c>
      <c r="K20" s="133">
        <v>0.37569999999999998</v>
      </c>
      <c r="L20" s="133">
        <v>0.3458</v>
      </c>
      <c r="M20" s="129"/>
      <c r="N20" s="129"/>
      <c r="O20" s="129"/>
    </row>
    <row r="21" spans="3:15" x14ac:dyDescent="0.25">
      <c r="C21" s="10">
        <f>PMT(0.3251/12,48,-C6)</f>
        <v>562.20587637794017</v>
      </c>
      <c r="D21" s="10"/>
      <c r="E21" s="10"/>
      <c r="F21" s="10"/>
      <c r="G21" s="10">
        <f>38-35.51</f>
        <v>2.490000000000002</v>
      </c>
      <c r="I21" s="129" t="s">
        <v>11</v>
      </c>
      <c r="J21" s="129" t="s">
        <v>12</v>
      </c>
      <c r="K21" s="129" t="s">
        <v>14</v>
      </c>
      <c r="L21" s="129" t="s">
        <v>17</v>
      </c>
      <c r="M21" s="129" t="s">
        <v>18</v>
      </c>
      <c r="N21" s="129" t="s">
        <v>19</v>
      </c>
      <c r="O21" s="129" t="s">
        <v>13</v>
      </c>
    </row>
    <row r="22" spans="3:15" x14ac:dyDescent="0.25">
      <c r="C22" s="10"/>
      <c r="D22" s="10">
        <f>E18-C21</f>
        <v>25.08564708686913</v>
      </c>
      <c r="E22" s="10">
        <f>D22*48</f>
        <v>1204.1110601697183</v>
      </c>
      <c r="F22" s="10"/>
      <c r="G22" s="10">
        <v>626.89</v>
      </c>
      <c r="I22" s="129">
        <f>PMT(K20/12,J20,-I20)/0.97</f>
        <v>626.88778049732252</v>
      </c>
      <c r="J22" s="129">
        <f>PMT(K20/12,J20,-I20)</f>
        <v>608.08114708240282</v>
      </c>
      <c r="K22" s="129">
        <f>I22*0.97</f>
        <v>608.08114708240282</v>
      </c>
      <c r="L22" s="129">
        <f>PMT(L20/12,J20,-I20)</f>
        <v>580.76800555123032</v>
      </c>
      <c r="M22" s="129">
        <f>K22-L22</f>
        <v>27.313141531172505</v>
      </c>
      <c r="N22" s="129">
        <f>M22*J20</f>
        <v>1311.0307934962802</v>
      </c>
      <c r="O22" s="129">
        <f>0.08*I20</f>
        <v>1200</v>
      </c>
    </row>
    <row r="23" spans="3:15" x14ac:dyDescent="0.25">
      <c r="C23" s="10"/>
      <c r="D23" s="10"/>
      <c r="E23" s="10"/>
      <c r="F23" s="10"/>
      <c r="G23" s="10">
        <f>0.97*G22</f>
        <v>608.08330000000001</v>
      </c>
      <c r="I23" s="134"/>
      <c r="J23" s="134"/>
      <c r="K23" s="134"/>
      <c r="L23" s="134"/>
      <c r="M23" s="134"/>
      <c r="N23" s="134"/>
      <c r="O23" s="134"/>
    </row>
    <row r="24" spans="3:15" x14ac:dyDescent="0.25">
      <c r="C24" s="10"/>
      <c r="D24" s="10"/>
      <c r="E24" s="10"/>
      <c r="F24" s="10"/>
      <c r="G24" s="10">
        <f>0.0299*G23</f>
        <v>18.181690669999998</v>
      </c>
      <c r="I24" s="134" t="s">
        <v>106</v>
      </c>
      <c r="J24" s="134">
        <f>PMT(0.3757/12,48,-I20)/0.97</f>
        <v>626.88778049732252</v>
      </c>
      <c r="K24" s="134">
        <f>J24*0.03</f>
        <v>18.806633414919673</v>
      </c>
      <c r="L24" s="134">
        <f>J24-K24</f>
        <v>608.08114708240282</v>
      </c>
      <c r="M24" s="134">
        <f>PMT(0.3458/12,48,-I20)</f>
        <v>580.76800555123032</v>
      </c>
      <c r="N24" s="134">
        <f>L24-M24</f>
        <v>27.313141531172505</v>
      </c>
      <c r="O24" s="134">
        <f>I20*0.08</f>
        <v>1200</v>
      </c>
    </row>
    <row r="25" spans="3:15" x14ac:dyDescent="0.25">
      <c r="C25" s="10"/>
      <c r="D25" s="10"/>
      <c r="E25" s="10"/>
      <c r="F25" s="10"/>
      <c r="G25" s="10">
        <f>G23-G24</f>
        <v>589.90160933000004</v>
      </c>
      <c r="I25" s="134"/>
      <c r="J25" s="134"/>
      <c r="K25" s="134"/>
      <c r="L25" s="134"/>
      <c r="M25" s="134"/>
      <c r="N25" s="134">
        <f>N24*48</f>
        <v>1311.0307934962802</v>
      </c>
      <c r="O25" s="134"/>
    </row>
    <row r="27" spans="3:15" x14ac:dyDescent="0.25">
      <c r="G27">
        <f>PMT(0.3458/12,48,-15000)</f>
        <v>580.76800555123032</v>
      </c>
      <c r="I27" s="44"/>
      <c r="J27" s="50" t="s">
        <v>20</v>
      </c>
      <c r="K27" s="44" t="s">
        <v>15</v>
      </c>
      <c r="L27" s="45" t="s">
        <v>16</v>
      </c>
      <c r="M27" s="44"/>
      <c r="N27" s="44"/>
      <c r="O27" s="44"/>
    </row>
    <row r="28" spans="3:15" x14ac:dyDescent="0.25">
      <c r="I28" s="46">
        <v>19000</v>
      </c>
      <c r="J28" s="51">
        <v>48</v>
      </c>
      <c r="K28" s="47">
        <v>0.35299999999999998</v>
      </c>
      <c r="L28" s="48">
        <v>0.3251</v>
      </c>
      <c r="M28" s="44"/>
      <c r="N28" s="44"/>
      <c r="O28" s="44"/>
    </row>
    <row r="29" spans="3:15" x14ac:dyDescent="0.25">
      <c r="I29" s="44" t="s">
        <v>11</v>
      </c>
      <c r="J29" s="44" t="s">
        <v>12</v>
      </c>
      <c r="K29" s="44" t="s">
        <v>14</v>
      </c>
      <c r="L29" s="45" t="s">
        <v>17</v>
      </c>
      <c r="M29" s="44" t="s">
        <v>18</v>
      </c>
      <c r="N29" s="44" t="s">
        <v>19</v>
      </c>
      <c r="O29" s="44" t="s">
        <v>13</v>
      </c>
    </row>
    <row r="30" spans="3:15" x14ac:dyDescent="0.25">
      <c r="I30" s="44">
        <f>PMT(K28/12,J28,-I28)/0.97</f>
        <v>766.90989318428717</v>
      </c>
      <c r="J30" s="44">
        <f>PMT(K28/12,J28,-I28)</f>
        <v>743.90259638875852</v>
      </c>
      <c r="K30" s="44">
        <f>I30*0.97</f>
        <v>743.90259638875852</v>
      </c>
      <c r="L30" s="45">
        <f>PMT(L28/12,J28,-I28)</f>
        <v>712.12744341205757</v>
      </c>
      <c r="M30" s="44">
        <f>K30-L30</f>
        <v>31.775152976700952</v>
      </c>
      <c r="N30" s="44">
        <f>M30*J28</f>
        <v>1525.2073428816457</v>
      </c>
      <c r="O30" s="44">
        <f>0.08*I28</f>
        <v>1520</v>
      </c>
    </row>
    <row r="32" spans="3:15" x14ac:dyDescent="0.25">
      <c r="I32" s="52" t="s">
        <v>22</v>
      </c>
      <c r="J32" s="52">
        <f>PMT(0.3551/12,48,-I28)/0.97</f>
        <v>769.40293408983393</v>
      </c>
      <c r="K32" s="52">
        <f>J32*0.03</f>
        <v>23.082088022695018</v>
      </c>
      <c r="L32" s="53">
        <f>J32-K32</f>
        <v>746.32084606713897</v>
      </c>
      <c r="M32" s="52">
        <f>PMT(0.3251/12,48,-I28)</f>
        <v>712.12744341205757</v>
      </c>
      <c r="N32" s="52">
        <f>L32-M32</f>
        <v>34.1934026550814</v>
      </c>
      <c r="O32" s="52">
        <f>I28*0.08</f>
        <v>1520</v>
      </c>
    </row>
    <row r="33" spans="9:15" x14ac:dyDescent="0.25">
      <c r="J33" s="52"/>
      <c r="K33" s="52"/>
      <c r="L33" s="52"/>
      <c r="M33" s="52"/>
      <c r="N33" s="52">
        <f>N32*48</f>
        <v>1641.2833274439072</v>
      </c>
      <c r="O33" s="52"/>
    </row>
    <row r="35" spans="9:15" x14ac:dyDescent="0.25">
      <c r="I35" s="44"/>
      <c r="J35" s="50" t="s">
        <v>20</v>
      </c>
      <c r="K35" s="44" t="s">
        <v>15</v>
      </c>
      <c r="L35" s="45" t="s">
        <v>16</v>
      </c>
      <c r="M35" s="44"/>
      <c r="N35" s="44"/>
      <c r="O35" s="44"/>
    </row>
    <row r="36" spans="9:15" x14ac:dyDescent="0.25">
      <c r="I36" s="46">
        <v>25000</v>
      </c>
      <c r="J36" s="51">
        <v>48</v>
      </c>
      <c r="K36" s="47">
        <v>0.35299999999999998</v>
      </c>
      <c r="L36" s="48">
        <v>0.3251</v>
      </c>
      <c r="M36" s="44"/>
      <c r="N36" s="44"/>
      <c r="O36" s="44"/>
    </row>
    <row r="37" spans="9:15" x14ac:dyDescent="0.25">
      <c r="I37" s="44" t="s">
        <v>11</v>
      </c>
      <c r="J37" s="44" t="s">
        <v>12</v>
      </c>
      <c r="K37" s="44" t="s">
        <v>14</v>
      </c>
      <c r="L37" s="45" t="s">
        <v>17</v>
      </c>
      <c r="M37" s="44" t="s">
        <v>18</v>
      </c>
      <c r="N37" s="44" t="s">
        <v>19</v>
      </c>
      <c r="O37" s="44" t="s">
        <v>13</v>
      </c>
    </row>
    <row r="38" spans="9:15" x14ac:dyDescent="0.25">
      <c r="I38" s="44">
        <f>PMT(K36/12,J36,-I36)/0.97</f>
        <v>1009.0919647161672</v>
      </c>
      <c r="J38" s="44">
        <f>PMT(K36/12,J36,-I36)</f>
        <v>978.81920577468225</v>
      </c>
      <c r="K38" s="44">
        <f>I38*0.97</f>
        <v>978.81920577468225</v>
      </c>
      <c r="L38" s="45">
        <f>PMT(L36/12,J36,-I36)</f>
        <v>937.00979396323362</v>
      </c>
      <c r="M38" s="44">
        <f>K38-L38</f>
        <v>41.809411811448626</v>
      </c>
      <c r="N38" s="44">
        <f>M38*J36</f>
        <v>2006.8517669495341</v>
      </c>
      <c r="O38" s="44">
        <f>0.08*I36</f>
        <v>2000</v>
      </c>
    </row>
    <row r="39" spans="9:15" x14ac:dyDescent="0.25">
      <c r="I39" s="52"/>
      <c r="J39" s="52"/>
      <c r="K39" s="52"/>
      <c r="L39" s="52"/>
      <c r="M39" s="52"/>
      <c r="N39" s="52"/>
      <c r="O39" s="52"/>
    </row>
    <row r="40" spans="9:15" x14ac:dyDescent="0.25">
      <c r="I40" s="52" t="s">
        <v>22</v>
      </c>
      <c r="J40" s="52">
        <f>PMT(0.3551/12,48,-I36)/0.97</f>
        <v>1012.3722816971498</v>
      </c>
      <c r="K40" s="52">
        <f>J40*0.03</f>
        <v>30.371168450914492</v>
      </c>
      <c r="L40" s="53">
        <f>J40-K40</f>
        <v>982.00111324623526</v>
      </c>
      <c r="M40" s="52">
        <f>PMT(0.3251/12,48,-I36)</f>
        <v>937.00979396323362</v>
      </c>
      <c r="N40" s="52">
        <f>L40-M40</f>
        <v>44.991319283001644</v>
      </c>
      <c r="O40" s="52">
        <f>I36*0.08</f>
        <v>2000</v>
      </c>
    </row>
    <row r="41" spans="9:15" x14ac:dyDescent="0.25">
      <c r="I41" s="52"/>
      <c r="J41" s="52"/>
      <c r="K41" s="52"/>
      <c r="L41" s="52"/>
      <c r="M41" s="52"/>
      <c r="N41" s="52">
        <f>N40*48</f>
        <v>2159.5833255840789</v>
      </c>
      <c r="O41" s="52"/>
    </row>
    <row r="43" spans="9:15" x14ac:dyDescent="0.25">
      <c r="I43" s="44"/>
      <c r="J43" s="50" t="s">
        <v>20</v>
      </c>
      <c r="K43" s="44" t="s">
        <v>15</v>
      </c>
      <c r="L43" s="45" t="s">
        <v>16</v>
      </c>
      <c r="M43" s="44"/>
      <c r="N43" s="44"/>
      <c r="O43" s="44"/>
    </row>
    <row r="44" spans="9:15" x14ac:dyDescent="0.25">
      <c r="I44" s="46">
        <v>42000</v>
      </c>
      <c r="J44" s="51">
        <v>48</v>
      </c>
      <c r="K44" s="47">
        <v>0.35299999999999998</v>
      </c>
      <c r="L44" s="48">
        <v>0.3251</v>
      </c>
      <c r="M44" s="44"/>
      <c r="N44" s="44"/>
      <c r="O44" s="44"/>
    </row>
    <row r="45" spans="9:15" x14ac:dyDescent="0.25">
      <c r="I45" s="44" t="s">
        <v>11</v>
      </c>
      <c r="J45" s="44" t="s">
        <v>12</v>
      </c>
      <c r="K45" s="44" t="s">
        <v>14</v>
      </c>
      <c r="L45" s="45" t="s">
        <v>17</v>
      </c>
      <c r="M45" s="44" t="s">
        <v>18</v>
      </c>
      <c r="N45" s="44" t="s">
        <v>19</v>
      </c>
      <c r="O45" s="44" t="s">
        <v>13</v>
      </c>
    </row>
    <row r="46" spans="9:15" x14ac:dyDescent="0.25">
      <c r="I46" s="44">
        <f>PMT(K44/12,J44,-I44)/0.97</f>
        <v>1695.2745007231611</v>
      </c>
      <c r="J46" s="44">
        <f>PMT(K44/12,J44,-I44)</f>
        <v>1644.4162657014663</v>
      </c>
      <c r="K46" s="44">
        <f>I46*0.97</f>
        <v>1644.4162657014663</v>
      </c>
      <c r="L46" s="45">
        <f>PMT(L44/12,J44,-I44)</f>
        <v>1574.1764538582327</v>
      </c>
      <c r="M46" s="44">
        <f>K46-L46</f>
        <v>70.23981184323361</v>
      </c>
      <c r="N46" s="44">
        <f>M46*J44</f>
        <v>3371.5109684752133</v>
      </c>
      <c r="O46" s="44">
        <f>0.08*I44</f>
        <v>3360</v>
      </c>
    </row>
    <row r="48" spans="9:15" x14ac:dyDescent="0.25">
      <c r="I48" s="52" t="s">
        <v>22</v>
      </c>
      <c r="J48" s="52">
        <f>PMT(0.3551/12,48,-I44)/0.97</f>
        <v>1700.7854332512118</v>
      </c>
      <c r="K48" s="52">
        <f>J48*0.03</f>
        <v>51.023562997536352</v>
      </c>
      <c r="L48" s="53">
        <f>J48-K48</f>
        <v>1649.7618702536754</v>
      </c>
      <c r="M48" s="52">
        <f>PMT(0.3251/12,48,-I44)</f>
        <v>1574.1764538582327</v>
      </c>
      <c r="N48" s="52">
        <f>L48-M48</f>
        <v>75.585416395442735</v>
      </c>
      <c r="O48" s="52">
        <f>I44*0.08</f>
        <v>3360</v>
      </c>
    </row>
    <row r="49" spans="10:15" x14ac:dyDescent="0.25">
      <c r="J49" s="52"/>
      <c r="K49" s="52"/>
      <c r="L49" s="52"/>
      <c r="M49" s="52"/>
      <c r="N49" s="52">
        <f>N48*48</f>
        <v>3628.0999869812513</v>
      </c>
      <c r="O49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EBFAD-1A11-4E17-9E70-15A3660E6BB1}">
  <dimension ref="B1:O55"/>
  <sheetViews>
    <sheetView workbookViewId="0">
      <selection activeCell="H7" sqref="H7"/>
    </sheetView>
  </sheetViews>
  <sheetFormatPr defaultRowHeight="15" x14ac:dyDescent="0.25"/>
  <cols>
    <col min="2" max="2" width="41.7109375" style="57" customWidth="1"/>
    <col min="3" max="3" width="22.85546875" style="57" customWidth="1"/>
    <col min="4" max="4" width="18" style="57" customWidth="1"/>
    <col min="5" max="5" width="20" style="57" customWidth="1"/>
    <col min="6" max="7" width="21.5703125" style="57" customWidth="1"/>
    <col min="8" max="8" width="21.5703125" customWidth="1"/>
    <col min="9" max="9" width="18.85546875" style="49" customWidth="1"/>
    <col min="10" max="15" width="17" style="49" customWidth="1"/>
  </cols>
  <sheetData>
    <row r="1" spans="2:15" x14ac:dyDescent="0.25">
      <c r="K1" s="49" t="s">
        <v>21</v>
      </c>
    </row>
    <row r="3" spans="2:15" x14ac:dyDescent="0.25">
      <c r="B3" s="57" t="s">
        <v>33</v>
      </c>
    </row>
    <row r="4" spans="2:15" x14ac:dyDescent="0.25">
      <c r="B4" s="62" t="s">
        <v>34</v>
      </c>
      <c r="F4" s="57">
        <f>167*21</f>
        <v>3507</v>
      </c>
      <c r="G4" s="57">
        <v>3527.37</v>
      </c>
    </row>
    <row r="5" spans="2:15" x14ac:dyDescent="0.25">
      <c r="B5" s="62" t="s">
        <v>35</v>
      </c>
      <c r="G5" s="57">
        <v>500</v>
      </c>
    </row>
    <row r="6" spans="2:15" x14ac:dyDescent="0.25">
      <c r="B6" s="62" t="s">
        <v>36</v>
      </c>
      <c r="G6" s="57">
        <f>G5+G4</f>
        <v>4027.37</v>
      </c>
      <c r="H6">
        <f>14158.28-G6</f>
        <v>10130.91</v>
      </c>
    </row>
    <row r="8" spans="2:15" ht="15.75" thickBot="1" x14ac:dyDescent="0.3">
      <c r="K8" s="54">
        <f>K10+0.03</f>
        <v>0.39</v>
      </c>
      <c r="L8" s="49">
        <f>PMT(K8/12,48,-I10)</f>
        <v>248.53921929437166</v>
      </c>
    </row>
    <row r="9" spans="2:15" ht="25.5" x14ac:dyDescent="0.25">
      <c r="B9" s="63" t="s">
        <v>23</v>
      </c>
      <c r="C9" s="64" t="s">
        <v>25</v>
      </c>
      <c r="D9" s="64" t="s">
        <v>24</v>
      </c>
      <c r="E9" s="65" t="s">
        <v>31</v>
      </c>
      <c r="F9" s="65" t="s">
        <v>28</v>
      </c>
      <c r="G9" s="66" t="s">
        <v>30</v>
      </c>
      <c r="I9" s="44"/>
      <c r="J9" s="50" t="s">
        <v>20</v>
      </c>
      <c r="K9" s="44" t="s">
        <v>15</v>
      </c>
      <c r="L9" s="45" t="s">
        <v>16</v>
      </c>
      <c r="M9" s="44"/>
      <c r="N9" s="44"/>
      <c r="O9" s="44"/>
    </row>
    <row r="10" spans="2:15" x14ac:dyDescent="0.25">
      <c r="B10" s="67">
        <v>6000</v>
      </c>
      <c r="C10" s="58">
        <f>0.3251+0.03+0.0299</f>
        <v>0.38499999999999995</v>
      </c>
      <c r="D10" s="59">
        <v>48</v>
      </c>
      <c r="E10" s="60">
        <f>PMT((C10-0.03)/12,D10,-B10)/0.97</f>
        <v>242.93183112197693</v>
      </c>
      <c r="F10" s="60">
        <f>B10*0.08</f>
        <v>480</v>
      </c>
      <c r="G10" s="68">
        <f>F10/D10</f>
        <v>10</v>
      </c>
      <c r="I10" s="46">
        <v>6000</v>
      </c>
      <c r="J10" s="51">
        <v>48</v>
      </c>
      <c r="K10" s="55">
        <v>0.36</v>
      </c>
      <c r="L10" s="56">
        <v>0.3251</v>
      </c>
      <c r="M10" s="44"/>
      <c r="N10" s="44"/>
      <c r="O10" s="44"/>
    </row>
    <row r="11" spans="2:15" x14ac:dyDescent="0.25">
      <c r="B11" s="69"/>
      <c r="C11" s="60"/>
      <c r="D11" s="60"/>
      <c r="E11" s="60"/>
      <c r="F11" s="60"/>
      <c r="G11" s="68"/>
      <c r="I11" s="44" t="s">
        <v>11</v>
      </c>
      <c r="J11" s="44" t="s">
        <v>12</v>
      </c>
      <c r="K11" s="44" t="s">
        <v>14</v>
      </c>
      <c r="L11" s="45" t="s">
        <v>17</v>
      </c>
      <c r="M11" s="44" t="s">
        <v>18</v>
      </c>
      <c r="N11" s="44" t="s">
        <v>19</v>
      </c>
      <c r="O11" s="44" t="s">
        <v>13</v>
      </c>
    </row>
    <row r="12" spans="2:15" x14ac:dyDescent="0.25">
      <c r="B12" s="144" t="s">
        <v>32</v>
      </c>
      <c r="C12" s="145"/>
      <c r="D12" s="145"/>
      <c r="E12" s="145"/>
      <c r="F12" s="145"/>
      <c r="G12" s="146"/>
      <c r="I12" s="44">
        <f>PMT(K10/12,J10,-I10)/0.97</f>
        <v>244.81097199000695</v>
      </c>
      <c r="J12" s="44">
        <f>PMT(K10/12,J10,-I10)</f>
        <v>237.46664283030674</v>
      </c>
      <c r="K12" s="44">
        <f>I12*0.97</f>
        <v>237.46664283030674</v>
      </c>
      <c r="L12" s="45">
        <f>PMT(L10/12,J10,-I10)</f>
        <v>224.88235055117607</v>
      </c>
      <c r="M12" s="44">
        <f>K12-L12</f>
        <v>12.584292279130665</v>
      </c>
      <c r="N12" s="44">
        <f>M12*J10</f>
        <v>604.04602939827191</v>
      </c>
      <c r="O12" s="44">
        <f>0.08*I10</f>
        <v>480</v>
      </c>
    </row>
    <row r="13" spans="2:15" x14ac:dyDescent="0.25">
      <c r="B13" s="69" t="s">
        <v>26</v>
      </c>
      <c r="C13" s="60" t="s">
        <v>27</v>
      </c>
      <c r="D13" s="60" t="s">
        <v>29</v>
      </c>
      <c r="E13" s="60"/>
      <c r="F13" s="60"/>
      <c r="G13" s="68"/>
      <c r="I13" s="52"/>
      <c r="J13" s="52"/>
      <c r="K13" s="52"/>
      <c r="L13" s="52"/>
      <c r="M13" s="52"/>
      <c r="N13" s="52"/>
      <c r="O13" s="52"/>
    </row>
    <row r="14" spans="2:15" ht="15.75" thickBot="1" x14ac:dyDescent="0.3">
      <c r="B14" s="70">
        <f>PMT(0.3251/12,D10,-B10)</f>
        <v>224.88235055117607</v>
      </c>
      <c r="C14" s="71">
        <f>E10*0.03</f>
        <v>7.2879549336593072</v>
      </c>
      <c r="D14" s="71">
        <f>E10-C14</f>
        <v>235.64387618831762</v>
      </c>
      <c r="E14" s="71">
        <f>D14-B14</f>
        <v>10.761525637141546</v>
      </c>
      <c r="F14" s="71">
        <f>E14*D10</f>
        <v>516.55323058279419</v>
      </c>
      <c r="G14" s="72"/>
      <c r="I14" s="52" t="s">
        <v>22</v>
      </c>
      <c r="J14" s="52">
        <f>PMT(0.3551/12,48,-I10)/0.97</f>
        <v>242.96934760731597</v>
      </c>
      <c r="K14" s="52">
        <f>J14*0.03</f>
        <v>7.2890804282194788</v>
      </c>
      <c r="L14" s="53">
        <f>J14-K14</f>
        <v>235.68026717909649</v>
      </c>
      <c r="M14" s="52">
        <f>PMT(0.3251/12,48,-I10)</f>
        <v>224.88235055117607</v>
      </c>
      <c r="N14" s="52">
        <f>L14-M14</f>
        <v>10.797916627920415</v>
      </c>
      <c r="O14" s="52">
        <f>I10*0.08</f>
        <v>480</v>
      </c>
    </row>
    <row r="15" spans="2:15" x14ac:dyDescent="0.25">
      <c r="B15" s="62"/>
      <c r="C15" s="62"/>
      <c r="D15" s="62"/>
      <c r="E15" s="62"/>
      <c r="F15" s="62"/>
      <c r="G15" s="62"/>
      <c r="I15" s="52"/>
      <c r="J15" s="52"/>
      <c r="K15" s="52"/>
      <c r="L15" s="52"/>
      <c r="M15" s="52"/>
      <c r="N15" s="52">
        <f>N14*48</f>
        <v>518.29999814017992</v>
      </c>
      <c r="O15" s="52"/>
    </row>
    <row r="16" spans="2:15" x14ac:dyDescent="0.25">
      <c r="B16" s="62"/>
      <c r="C16" s="62"/>
      <c r="D16" s="62"/>
      <c r="E16" s="62"/>
      <c r="F16" s="62"/>
      <c r="G16" s="62"/>
    </row>
    <row r="17" spans="2:15" x14ac:dyDescent="0.25">
      <c r="B17" s="62"/>
      <c r="C17" s="62"/>
      <c r="D17" s="62"/>
      <c r="E17" s="62"/>
      <c r="F17" s="62"/>
      <c r="G17" s="62"/>
      <c r="I17" s="44"/>
      <c r="J17" s="50" t="s">
        <v>20</v>
      </c>
      <c r="K17" s="44" t="s">
        <v>15</v>
      </c>
      <c r="L17" s="45" t="s">
        <v>16</v>
      </c>
      <c r="M17" s="44"/>
      <c r="N17" s="44"/>
      <c r="O17" s="44"/>
    </row>
    <row r="18" spans="2:15" ht="15.75" thickBot="1" x14ac:dyDescent="0.3">
      <c r="B18" s="62"/>
      <c r="C18" s="62"/>
      <c r="D18" s="62"/>
      <c r="E18" s="62"/>
      <c r="F18" s="62"/>
      <c r="G18" s="62"/>
      <c r="I18" s="46">
        <v>10000</v>
      </c>
      <c r="J18" s="51">
        <v>48</v>
      </c>
      <c r="K18" s="47">
        <v>0.35299999999999998</v>
      </c>
      <c r="L18" s="48">
        <v>0.3251</v>
      </c>
      <c r="M18" s="44"/>
      <c r="N18" s="44"/>
      <c r="O18" s="44"/>
    </row>
    <row r="19" spans="2:15" ht="25.5" x14ac:dyDescent="0.25">
      <c r="B19" s="73" t="s">
        <v>23</v>
      </c>
      <c r="C19" s="74" t="s">
        <v>25</v>
      </c>
      <c r="D19" s="74" t="s">
        <v>24</v>
      </c>
      <c r="E19" s="75" t="s">
        <v>31</v>
      </c>
      <c r="F19" s="75" t="s">
        <v>28</v>
      </c>
      <c r="G19" s="76" t="s">
        <v>30</v>
      </c>
      <c r="I19" s="44" t="s">
        <v>11</v>
      </c>
      <c r="J19" s="44" t="s">
        <v>12</v>
      </c>
      <c r="K19" s="44" t="s">
        <v>14</v>
      </c>
      <c r="L19" s="45" t="s">
        <v>17</v>
      </c>
      <c r="M19" s="44" t="s">
        <v>18</v>
      </c>
      <c r="N19" s="44" t="s">
        <v>19</v>
      </c>
      <c r="O19" s="44" t="s">
        <v>13</v>
      </c>
    </row>
    <row r="20" spans="2:15" x14ac:dyDescent="0.25">
      <c r="B20" s="67">
        <v>10000</v>
      </c>
      <c r="C20" s="58">
        <f>0.3251+0.03+0.03</f>
        <v>0.3851</v>
      </c>
      <c r="D20" s="59">
        <v>48</v>
      </c>
      <c r="E20" s="60">
        <f>PMT((C20-0.03)/12,D20,-B20)/0.97</f>
        <v>404.94891267885993</v>
      </c>
      <c r="F20" s="60">
        <f>B20*0.08</f>
        <v>800</v>
      </c>
      <c r="G20" s="68">
        <f>F20/D20</f>
        <v>16.666666666666668</v>
      </c>
      <c r="I20" s="44">
        <f>PMT(K18/12,J18,-I18)/0.97</f>
        <v>403.6367858864669</v>
      </c>
      <c r="J20" s="44">
        <f>PMT(K18/12,J18,-I18)</f>
        <v>391.52768230987289</v>
      </c>
      <c r="K20" s="44">
        <f>I20*0.97</f>
        <v>391.52768230987289</v>
      </c>
      <c r="L20" s="45">
        <f>PMT(L18/12,J18,-I18)</f>
        <v>374.8039175852935</v>
      </c>
      <c r="M20" s="44">
        <f>K20-L20</f>
        <v>16.723764724579382</v>
      </c>
      <c r="N20" s="44">
        <f>M20*J18</f>
        <v>802.74070677981035</v>
      </c>
      <c r="O20" s="44">
        <f>0.08*I18</f>
        <v>800</v>
      </c>
    </row>
    <row r="21" spans="2:15" x14ac:dyDescent="0.25">
      <c r="B21" s="69"/>
      <c r="C21" s="60"/>
      <c r="D21" s="60"/>
      <c r="E21" s="60"/>
      <c r="F21" s="60"/>
      <c r="G21" s="68"/>
    </row>
    <row r="22" spans="2:15" x14ac:dyDescent="0.25">
      <c r="B22" s="144" t="s">
        <v>32</v>
      </c>
      <c r="C22" s="145"/>
      <c r="D22" s="145"/>
      <c r="E22" s="145"/>
      <c r="F22" s="145"/>
      <c r="G22" s="146"/>
      <c r="I22" s="52" t="s">
        <v>22</v>
      </c>
      <c r="J22" s="52">
        <f>PMT(0.3551/12,48,-I18)/0.97</f>
        <v>404.94891267885993</v>
      </c>
      <c r="K22" s="52">
        <f>J22*0.03</f>
        <v>12.148467380365798</v>
      </c>
      <c r="L22" s="53">
        <f>J22-K22</f>
        <v>392.80044529849414</v>
      </c>
      <c r="M22" s="52">
        <f>PMT(0.3251/12,48,-I18)</f>
        <v>374.8039175852935</v>
      </c>
      <c r="N22" s="52">
        <f>L22-M22</f>
        <v>17.996527713200635</v>
      </c>
      <c r="O22" s="52">
        <f>I18*0.08</f>
        <v>800</v>
      </c>
    </row>
    <row r="23" spans="2:15" x14ac:dyDescent="0.25">
      <c r="B23" s="69" t="s">
        <v>26</v>
      </c>
      <c r="C23" s="60" t="s">
        <v>27</v>
      </c>
      <c r="D23" s="60" t="s">
        <v>29</v>
      </c>
      <c r="E23" s="60"/>
      <c r="F23" s="60"/>
      <c r="G23" s="68"/>
      <c r="J23" s="52"/>
      <c r="K23" s="52"/>
      <c r="L23" s="52"/>
      <c r="M23" s="52"/>
      <c r="N23" s="52">
        <f>N22*48</f>
        <v>863.83333023363048</v>
      </c>
      <c r="O23" s="52"/>
    </row>
    <row r="24" spans="2:15" ht="15.75" thickBot="1" x14ac:dyDescent="0.3">
      <c r="B24" s="70">
        <f>PMT(0.3251/12,D20,-B20)</f>
        <v>374.8039175852935</v>
      </c>
      <c r="C24" s="71">
        <f>E20*0.03</f>
        <v>12.148467380365798</v>
      </c>
      <c r="D24" s="71">
        <f>E20-C24</f>
        <v>392.80044529849414</v>
      </c>
      <c r="E24" s="71">
        <f>D24-B24</f>
        <v>17.996527713200635</v>
      </c>
      <c r="F24" s="71">
        <f>E24*D20</f>
        <v>863.83333023363048</v>
      </c>
      <c r="G24" s="72"/>
    </row>
    <row r="25" spans="2:15" x14ac:dyDescent="0.25">
      <c r="I25" s="44"/>
      <c r="J25" s="50" t="s">
        <v>20</v>
      </c>
      <c r="K25" s="44" t="s">
        <v>15</v>
      </c>
      <c r="L25" s="45" t="s">
        <v>16</v>
      </c>
      <c r="M25" s="44"/>
      <c r="N25" s="44"/>
      <c r="O25" s="44"/>
    </row>
    <row r="26" spans="2:15" x14ac:dyDescent="0.25">
      <c r="I26" s="46">
        <v>15000</v>
      </c>
      <c r="J26" s="51">
        <v>48</v>
      </c>
      <c r="K26" s="47">
        <v>0.35299999999999998</v>
      </c>
      <c r="L26" s="48">
        <v>0.3251</v>
      </c>
      <c r="M26" s="44"/>
      <c r="N26" s="44"/>
      <c r="O26" s="44"/>
    </row>
    <row r="27" spans="2:15" ht="15.75" thickBot="1" x14ac:dyDescent="0.3">
      <c r="I27" s="44" t="s">
        <v>11</v>
      </c>
      <c r="J27" s="44" t="s">
        <v>12</v>
      </c>
      <c r="K27" s="44" t="s">
        <v>14</v>
      </c>
      <c r="L27" s="45" t="s">
        <v>17</v>
      </c>
      <c r="M27" s="44" t="s">
        <v>18</v>
      </c>
      <c r="N27" s="44" t="s">
        <v>19</v>
      </c>
      <c r="O27" s="44" t="s">
        <v>13</v>
      </c>
    </row>
    <row r="28" spans="2:15" ht="25.5" x14ac:dyDescent="0.25">
      <c r="B28" s="73" t="s">
        <v>23</v>
      </c>
      <c r="C28" s="74" t="s">
        <v>25</v>
      </c>
      <c r="D28" s="74" t="s">
        <v>24</v>
      </c>
      <c r="E28" s="75" t="s">
        <v>31</v>
      </c>
      <c r="F28" s="75" t="s">
        <v>28</v>
      </c>
      <c r="G28" s="76" t="s">
        <v>30</v>
      </c>
      <c r="I28" s="44">
        <f>PMT(K26/12,J26,-I26)/0.97</f>
        <v>605.45517882970034</v>
      </c>
      <c r="J28" s="44">
        <f>PMT(K26/12,J26,-I26)</f>
        <v>587.2915234648093</v>
      </c>
      <c r="K28" s="44">
        <f>I28*0.97</f>
        <v>587.2915234648093</v>
      </c>
      <c r="L28" s="45">
        <f>PMT(L26/12,J26,-I26)</f>
        <v>562.20587637794017</v>
      </c>
      <c r="M28" s="44">
        <f>K28-L28</f>
        <v>25.08564708686913</v>
      </c>
      <c r="N28" s="44">
        <f>M28*J26</f>
        <v>1204.1110601697183</v>
      </c>
      <c r="O28" s="44">
        <f>0.08*I26</f>
        <v>1200</v>
      </c>
    </row>
    <row r="29" spans="2:15" s="57" customFormat="1" x14ac:dyDescent="0.25">
      <c r="B29" s="67">
        <v>17000</v>
      </c>
      <c r="C29" s="58">
        <f>0.3251+0.03+0.03</f>
        <v>0.3851</v>
      </c>
      <c r="D29" s="59">
        <v>48</v>
      </c>
      <c r="E29" s="60">
        <f>PMT((C29-0.03)/12,D29,-B29)/0.97</f>
        <v>688.41315155406187</v>
      </c>
      <c r="F29" s="60">
        <f>B29*0.08</f>
        <v>1360</v>
      </c>
      <c r="G29" s="68">
        <f>F29/D29</f>
        <v>28.333333333333332</v>
      </c>
      <c r="I29" s="61"/>
      <c r="J29" s="61"/>
      <c r="K29" s="61"/>
      <c r="L29" s="61"/>
      <c r="M29" s="61"/>
      <c r="N29" s="61"/>
      <c r="O29" s="61"/>
    </row>
    <row r="30" spans="2:15" x14ac:dyDescent="0.25">
      <c r="B30" s="69"/>
      <c r="C30" s="60"/>
      <c r="D30" s="60"/>
      <c r="E30" s="60"/>
      <c r="F30" s="60"/>
      <c r="G30" s="68"/>
      <c r="I30" s="52" t="s">
        <v>22</v>
      </c>
      <c r="J30" s="52">
        <f>PMT(0.3551/12,48,-I26)/0.97</f>
        <v>607.42336901828992</v>
      </c>
      <c r="K30" s="52">
        <f>J30*0.03</f>
        <v>18.222701070548698</v>
      </c>
      <c r="L30" s="53">
        <f>J30-K30</f>
        <v>589.20066794774118</v>
      </c>
      <c r="M30" s="52">
        <f>PMT(0.3251/12,48,-I26)</f>
        <v>562.20587637794017</v>
      </c>
      <c r="N30" s="52">
        <f>L30-M30</f>
        <v>26.994791569801009</v>
      </c>
      <c r="O30" s="52">
        <f>I26*0.08</f>
        <v>1200</v>
      </c>
    </row>
    <row r="31" spans="2:15" x14ac:dyDescent="0.25">
      <c r="B31" s="144" t="s">
        <v>32</v>
      </c>
      <c r="C31" s="145"/>
      <c r="D31" s="145"/>
      <c r="E31" s="145"/>
      <c r="F31" s="145"/>
      <c r="G31" s="146"/>
      <c r="I31" s="52"/>
      <c r="J31" s="52"/>
      <c r="K31" s="52"/>
      <c r="L31" s="52"/>
      <c r="M31" s="52"/>
      <c r="N31" s="52">
        <f>N30*48</f>
        <v>1295.7499953504484</v>
      </c>
      <c r="O31" s="52"/>
    </row>
    <row r="32" spans="2:15" x14ac:dyDescent="0.25">
      <c r="B32" s="69" t="s">
        <v>26</v>
      </c>
      <c r="C32" s="60" t="s">
        <v>27</v>
      </c>
      <c r="D32" s="60" t="s">
        <v>29</v>
      </c>
      <c r="E32" s="60"/>
      <c r="F32" s="60"/>
      <c r="G32" s="68"/>
    </row>
    <row r="33" spans="2:15" ht="15.75" thickBot="1" x14ac:dyDescent="0.3">
      <c r="B33" s="70">
        <f>PMT(0.3251/12,D29,-B29)</f>
        <v>637.16665989499893</v>
      </c>
      <c r="C33" s="71">
        <f>E29*0.03</f>
        <v>20.652394546621856</v>
      </c>
      <c r="D33" s="71">
        <f>E29-C33</f>
        <v>667.76075700744002</v>
      </c>
      <c r="E33" s="71">
        <f>D33-B33</f>
        <v>30.594097112441091</v>
      </c>
      <c r="F33" s="71">
        <f>E33*D29</f>
        <v>1468.5166613971724</v>
      </c>
      <c r="G33" s="72"/>
      <c r="I33" s="44"/>
      <c r="J33" s="50" t="s">
        <v>20</v>
      </c>
      <c r="K33" s="44" t="s">
        <v>15</v>
      </c>
      <c r="L33" s="45" t="s">
        <v>16</v>
      </c>
      <c r="M33" s="44"/>
      <c r="N33" s="44"/>
      <c r="O33" s="44"/>
    </row>
    <row r="34" spans="2:15" x14ac:dyDescent="0.25">
      <c r="I34" s="46">
        <v>19000</v>
      </c>
      <c r="J34" s="51">
        <v>48</v>
      </c>
      <c r="K34" s="47">
        <v>0.35299999999999998</v>
      </c>
      <c r="L34" s="48">
        <v>0.3251</v>
      </c>
      <c r="M34" s="44"/>
      <c r="N34" s="44"/>
      <c r="O34" s="44"/>
    </row>
    <row r="35" spans="2:15" x14ac:dyDescent="0.25">
      <c r="I35" s="44" t="s">
        <v>11</v>
      </c>
      <c r="J35" s="44" t="s">
        <v>12</v>
      </c>
      <c r="K35" s="44" t="s">
        <v>14</v>
      </c>
      <c r="L35" s="45" t="s">
        <v>17</v>
      </c>
      <c r="M35" s="44" t="s">
        <v>18</v>
      </c>
      <c r="N35" s="44" t="s">
        <v>19</v>
      </c>
      <c r="O35" s="44" t="s">
        <v>13</v>
      </c>
    </row>
    <row r="36" spans="2:15" x14ac:dyDescent="0.25">
      <c r="I36" s="44">
        <f>PMT(K34/12,J34,-I34)/0.97</f>
        <v>766.90989318428717</v>
      </c>
      <c r="J36" s="44">
        <f>PMT(K34/12,J34,-I34)</f>
        <v>743.90259638875852</v>
      </c>
      <c r="K36" s="44">
        <f>I36*0.97</f>
        <v>743.90259638875852</v>
      </c>
      <c r="L36" s="45">
        <f>PMT(L34/12,J34,-I34)</f>
        <v>712.12744341205757</v>
      </c>
      <c r="M36" s="44">
        <f>K36-L36</f>
        <v>31.775152976700952</v>
      </c>
      <c r="N36" s="44">
        <f>M36*J34</f>
        <v>1525.2073428816457</v>
      </c>
      <c r="O36" s="44">
        <f>0.08*I34</f>
        <v>1520</v>
      </c>
    </row>
    <row r="38" spans="2:15" x14ac:dyDescent="0.25">
      <c r="I38" s="52" t="s">
        <v>22</v>
      </c>
      <c r="J38" s="52">
        <f>PMT(0.3551/12,48,-I34)/0.97</f>
        <v>769.40293408983393</v>
      </c>
      <c r="K38" s="52">
        <f>J38*0.03</f>
        <v>23.082088022695018</v>
      </c>
      <c r="L38" s="53">
        <f>J38-K38</f>
        <v>746.32084606713897</v>
      </c>
      <c r="M38" s="52">
        <f>PMT(0.3251/12,48,-I34)</f>
        <v>712.12744341205757</v>
      </c>
      <c r="N38" s="52">
        <f>L38-M38</f>
        <v>34.1934026550814</v>
      </c>
      <c r="O38" s="52">
        <f>I34*0.08</f>
        <v>1520</v>
      </c>
    </row>
    <row r="39" spans="2:15" x14ac:dyDescent="0.25">
      <c r="J39" s="52"/>
      <c r="K39" s="52"/>
      <c r="L39" s="52"/>
      <c r="M39" s="52"/>
      <c r="N39" s="52">
        <f>N38*48</f>
        <v>1641.2833274439072</v>
      </c>
      <c r="O39" s="52"/>
    </row>
    <row r="41" spans="2:15" x14ac:dyDescent="0.25">
      <c r="I41" s="44"/>
      <c r="J41" s="50" t="s">
        <v>20</v>
      </c>
      <c r="K41" s="44" t="s">
        <v>15</v>
      </c>
      <c r="L41" s="45" t="s">
        <v>16</v>
      </c>
      <c r="M41" s="44"/>
      <c r="N41" s="44"/>
      <c r="O41" s="44"/>
    </row>
    <row r="42" spans="2:15" x14ac:dyDescent="0.25">
      <c r="I42" s="46">
        <v>25000</v>
      </c>
      <c r="J42" s="51">
        <v>48</v>
      </c>
      <c r="K42" s="47">
        <v>0.35299999999999998</v>
      </c>
      <c r="L42" s="48">
        <v>0.3251</v>
      </c>
      <c r="M42" s="44"/>
      <c r="N42" s="44"/>
      <c r="O42" s="44"/>
    </row>
    <row r="43" spans="2:15" x14ac:dyDescent="0.25">
      <c r="I43" s="44" t="s">
        <v>11</v>
      </c>
      <c r="J43" s="44" t="s">
        <v>12</v>
      </c>
      <c r="K43" s="44" t="s">
        <v>14</v>
      </c>
      <c r="L43" s="45" t="s">
        <v>17</v>
      </c>
      <c r="M43" s="44" t="s">
        <v>18</v>
      </c>
      <c r="N43" s="44" t="s">
        <v>19</v>
      </c>
      <c r="O43" s="44" t="s">
        <v>13</v>
      </c>
    </row>
    <row r="44" spans="2:15" x14ac:dyDescent="0.25">
      <c r="I44" s="44">
        <f>PMT(K42/12,J42,-I42)/0.97</f>
        <v>1009.0919647161672</v>
      </c>
      <c r="J44" s="44">
        <f>PMT(K42/12,J42,-I42)</f>
        <v>978.81920577468225</v>
      </c>
      <c r="K44" s="44">
        <f>I44*0.97</f>
        <v>978.81920577468225</v>
      </c>
      <c r="L44" s="45">
        <f>PMT(L42/12,J42,-I42)</f>
        <v>937.00979396323362</v>
      </c>
      <c r="M44" s="44">
        <f>K44-L44</f>
        <v>41.809411811448626</v>
      </c>
      <c r="N44" s="44">
        <f>M44*J42</f>
        <v>2006.8517669495341</v>
      </c>
      <c r="O44" s="44">
        <f>0.08*I42</f>
        <v>2000</v>
      </c>
    </row>
    <row r="45" spans="2:15" x14ac:dyDescent="0.25">
      <c r="I45" s="52"/>
      <c r="J45" s="52"/>
      <c r="K45" s="52"/>
      <c r="L45" s="52"/>
      <c r="M45" s="52"/>
      <c r="N45" s="52"/>
      <c r="O45" s="52"/>
    </row>
    <row r="46" spans="2:15" x14ac:dyDescent="0.25">
      <c r="I46" s="52" t="s">
        <v>22</v>
      </c>
      <c r="J46" s="52">
        <f>PMT(0.3551/12,48,-I42)/0.97</f>
        <v>1012.3722816971498</v>
      </c>
      <c r="K46" s="52">
        <f>J46*0.03</f>
        <v>30.371168450914492</v>
      </c>
      <c r="L46" s="53">
        <f>J46-K46</f>
        <v>982.00111324623526</v>
      </c>
      <c r="M46" s="52">
        <f>PMT(0.3251/12,48,-I42)</f>
        <v>937.00979396323362</v>
      </c>
      <c r="N46" s="52">
        <f>L46-M46</f>
        <v>44.991319283001644</v>
      </c>
      <c r="O46" s="52">
        <f>I42*0.08</f>
        <v>2000</v>
      </c>
    </row>
    <row r="47" spans="2:15" x14ac:dyDescent="0.25">
      <c r="I47" s="52"/>
      <c r="J47" s="52"/>
      <c r="K47" s="52"/>
      <c r="L47" s="52"/>
      <c r="M47" s="52"/>
      <c r="N47" s="52">
        <f>N46*48</f>
        <v>2159.5833255840789</v>
      </c>
      <c r="O47" s="52"/>
    </row>
    <row r="49" spans="9:15" x14ac:dyDescent="0.25">
      <c r="I49" s="44"/>
      <c r="J49" s="50" t="s">
        <v>20</v>
      </c>
      <c r="K49" s="44" t="s">
        <v>15</v>
      </c>
      <c r="L49" s="45" t="s">
        <v>16</v>
      </c>
      <c r="M49" s="44"/>
      <c r="N49" s="44"/>
      <c r="O49" s="44"/>
    </row>
    <row r="50" spans="9:15" x14ac:dyDescent="0.25">
      <c r="I50" s="46">
        <v>42000</v>
      </c>
      <c r="J50" s="51">
        <v>48</v>
      </c>
      <c r="K50" s="47">
        <v>0.35299999999999998</v>
      </c>
      <c r="L50" s="48">
        <v>0.3251</v>
      </c>
      <c r="M50" s="44"/>
      <c r="N50" s="44"/>
      <c r="O50" s="44"/>
    </row>
    <row r="51" spans="9:15" x14ac:dyDescent="0.25">
      <c r="I51" s="44" t="s">
        <v>11</v>
      </c>
      <c r="J51" s="44" t="s">
        <v>12</v>
      </c>
      <c r="K51" s="44" t="s">
        <v>14</v>
      </c>
      <c r="L51" s="45" t="s">
        <v>17</v>
      </c>
      <c r="M51" s="44" t="s">
        <v>18</v>
      </c>
      <c r="N51" s="44" t="s">
        <v>19</v>
      </c>
      <c r="O51" s="44" t="s">
        <v>13</v>
      </c>
    </row>
    <row r="52" spans="9:15" x14ac:dyDescent="0.25">
      <c r="I52" s="44">
        <f>PMT(K50/12,J50,-I50)/0.97</f>
        <v>1695.2745007231611</v>
      </c>
      <c r="J52" s="44">
        <f>PMT(K50/12,J50,-I50)</f>
        <v>1644.4162657014663</v>
      </c>
      <c r="K52" s="44">
        <f>I52*0.97</f>
        <v>1644.4162657014663</v>
      </c>
      <c r="L52" s="45">
        <f>PMT(L50/12,J50,-I50)</f>
        <v>1574.1764538582327</v>
      </c>
      <c r="M52" s="44">
        <f>K52-L52</f>
        <v>70.23981184323361</v>
      </c>
      <c r="N52" s="44">
        <f>M52*J50</f>
        <v>3371.5109684752133</v>
      </c>
      <c r="O52" s="44">
        <f>0.08*I50</f>
        <v>3360</v>
      </c>
    </row>
    <row r="54" spans="9:15" x14ac:dyDescent="0.25">
      <c r="I54" s="52" t="s">
        <v>22</v>
      </c>
      <c r="J54" s="52">
        <f>PMT(0.3551/12,48,-I50)/0.97</f>
        <v>1700.7854332512118</v>
      </c>
      <c r="K54" s="52">
        <f>J54*0.03</f>
        <v>51.023562997536352</v>
      </c>
      <c r="L54" s="53">
        <f>J54-K54</f>
        <v>1649.7618702536754</v>
      </c>
      <c r="M54" s="52">
        <f>PMT(0.3251/12,48,-I50)</f>
        <v>1574.1764538582327</v>
      </c>
      <c r="N54" s="52">
        <f>L54-M54</f>
        <v>75.585416395442735</v>
      </c>
      <c r="O54" s="52">
        <f>I50*0.08</f>
        <v>3360</v>
      </c>
    </row>
    <row r="55" spans="9:15" x14ac:dyDescent="0.25">
      <c r="J55" s="52"/>
      <c r="K55" s="52"/>
      <c r="L55" s="52"/>
      <c r="M55" s="52"/>
      <c r="N55" s="52">
        <f>N54*48</f>
        <v>3628.0999869812513</v>
      </c>
      <c r="O55" s="52"/>
    </row>
  </sheetData>
  <mergeCells count="3">
    <mergeCell ref="B22:G22"/>
    <mergeCell ref="B12:G12"/>
    <mergeCell ref="B31:G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6C89A-58F0-4A65-97F0-AAAE0B3E59B6}">
  <dimension ref="E2:Q74"/>
  <sheetViews>
    <sheetView topLeftCell="A3" workbookViewId="0">
      <selection activeCell="H13" sqref="H13"/>
    </sheetView>
  </sheetViews>
  <sheetFormatPr defaultRowHeight="15" x14ac:dyDescent="0.25"/>
  <cols>
    <col min="5" max="6" width="23.5703125" customWidth="1"/>
    <col min="7" max="7" width="18.42578125" style="14" customWidth="1"/>
    <col min="8" max="8" width="15.28515625" style="14" customWidth="1"/>
    <col min="9" max="9" width="15.7109375" style="14" customWidth="1"/>
    <col min="10" max="10" width="12" style="14" customWidth="1"/>
    <col min="11" max="11" width="22.5703125" style="57" customWidth="1"/>
    <col min="12" max="12" width="25.7109375" customWidth="1"/>
    <col min="13" max="13" width="36.7109375" customWidth="1"/>
    <col min="14" max="14" width="28.42578125" customWidth="1"/>
    <col min="15" max="15" width="15" customWidth="1"/>
    <col min="16" max="16" width="28.42578125" customWidth="1"/>
    <col min="17" max="17" width="20.140625" customWidth="1"/>
  </cols>
  <sheetData>
    <row r="2" spans="5:11" ht="15.75" thickBot="1" x14ac:dyDescent="0.3"/>
    <row r="3" spans="5:11" ht="19.5" customHeight="1" thickBot="1" x14ac:dyDescent="0.3">
      <c r="H3" s="126" t="s">
        <v>105</v>
      </c>
      <c r="I3" s="124"/>
      <c r="J3" s="127" t="s">
        <v>103</v>
      </c>
      <c r="K3" s="128" t="s">
        <v>104</v>
      </c>
    </row>
    <row r="4" spans="5:11" x14ac:dyDescent="0.25">
      <c r="E4" t="s">
        <v>37</v>
      </c>
      <c r="G4" s="14">
        <v>572200</v>
      </c>
      <c r="H4" s="149">
        <v>2022</v>
      </c>
      <c r="I4" s="121" t="s">
        <v>98</v>
      </c>
      <c r="J4" s="122">
        <v>181</v>
      </c>
      <c r="K4" s="123">
        <v>3704340</v>
      </c>
    </row>
    <row r="5" spans="5:11" x14ac:dyDescent="0.25">
      <c r="E5" t="s">
        <v>94</v>
      </c>
      <c r="G5" s="14">
        <v>1052190</v>
      </c>
      <c r="H5" s="150"/>
      <c r="I5" s="111" t="s">
        <v>99</v>
      </c>
      <c r="J5" s="118">
        <v>164</v>
      </c>
      <c r="K5" s="114">
        <v>3307900</v>
      </c>
    </row>
    <row r="6" spans="5:11" x14ac:dyDescent="0.25">
      <c r="E6" t="s">
        <v>95</v>
      </c>
      <c r="G6" s="14">
        <v>2079950</v>
      </c>
      <c r="H6" s="150"/>
      <c r="I6" s="111" t="s">
        <v>100</v>
      </c>
      <c r="J6" s="118">
        <v>160</v>
      </c>
      <c r="K6" s="114">
        <v>2907350</v>
      </c>
    </row>
    <row r="7" spans="5:11" ht="15.75" thickBot="1" x14ac:dyDescent="0.3">
      <c r="E7" t="s">
        <v>40</v>
      </c>
      <c r="H7" s="151"/>
      <c r="I7" s="112" t="s">
        <v>101</v>
      </c>
      <c r="J7" s="119">
        <v>195</v>
      </c>
      <c r="K7" s="115">
        <v>3608100</v>
      </c>
    </row>
    <row r="8" spans="5:11" ht="15.75" thickBot="1" x14ac:dyDescent="0.3">
      <c r="E8" t="s">
        <v>41</v>
      </c>
      <c r="H8" s="125"/>
      <c r="J8" s="120"/>
      <c r="K8" s="116"/>
    </row>
    <row r="9" spans="5:11" x14ac:dyDescent="0.25">
      <c r="E9" t="s">
        <v>42</v>
      </c>
      <c r="H9" s="152">
        <v>2023</v>
      </c>
      <c r="I9" s="110" t="s">
        <v>98</v>
      </c>
      <c r="J9" s="117">
        <f>68+106+205</f>
        <v>379</v>
      </c>
      <c r="K9" s="113">
        <f>1063100+1505750+2597610</f>
        <v>5166460</v>
      </c>
    </row>
    <row r="10" spans="5:11" x14ac:dyDescent="0.25">
      <c r="E10" t="s">
        <v>43</v>
      </c>
      <c r="H10" s="150"/>
      <c r="I10" s="111" t="s">
        <v>99</v>
      </c>
      <c r="J10" s="118">
        <f>242+330+352</f>
        <v>924</v>
      </c>
      <c r="K10" s="114">
        <f>3313450+5790849+7249030</f>
        <v>16353329</v>
      </c>
    </row>
    <row r="11" spans="5:11" x14ac:dyDescent="0.25">
      <c r="E11" t="s">
        <v>44</v>
      </c>
      <c r="H11" s="150"/>
      <c r="I11" s="111" t="s">
        <v>100</v>
      </c>
      <c r="J11" s="118">
        <f>287+185+327</f>
        <v>799</v>
      </c>
      <c r="K11" s="114">
        <f>6024980+3668150+5612604</f>
        <v>15305734</v>
      </c>
    </row>
    <row r="12" spans="5:11" ht="15.75" thickBot="1" x14ac:dyDescent="0.3">
      <c r="E12" t="s">
        <v>45</v>
      </c>
      <c r="H12" s="151"/>
      <c r="I12" s="112" t="s">
        <v>102</v>
      </c>
      <c r="J12" s="119">
        <f>322+218</f>
        <v>540</v>
      </c>
      <c r="K12" s="115">
        <f>5537010+3862050</f>
        <v>9399060</v>
      </c>
    </row>
    <row r="13" spans="5:11" x14ac:dyDescent="0.25">
      <c r="E13" t="s">
        <v>46</v>
      </c>
    </row>
    <row r="14" spans="5:11" x14ac:dyDescent="0.25">
      <c r="E14" t="s">
        <v>96</v>
      </c>
    </row>
    <row r="15" spans="5:11" x14ac:dyDescent="0.25">
      <c r="E15" t="s">
        <v>97</v>
      </c>
    </row>
    <row r="17" spans="5:13" x14ac:dyDescent="0.25">
      <c r="K17" s="57">
        <v>560108.31999999995</v>
      </c>
    </row>
    <row r="18" spans="5:13" ht="20.25" customHeight="1" x14ac:dyDescent="0.25">
      <c r="E18" s="90" t="s">
        <v>48</v>
      </c>
      <c r="F18" s="90"/>
      <c r="G18" s="91" t="s">
        <v>50</v>
      </c>
      <c r="H18" s="91"/>
      <c r="I18" s="91"/>
      <c r="J18" s="91" t="s">
        <v>51</v>
      </c>
      <c r="K18" s="92" t="s">
        <v>49</v>
      </c>
      <c r="L18" s="85"/>
    </row>
    <row r="19" spans="5:13" x14ac:dyDescent="0.25">
      <c r="E19" s="82" t="s">
        <v>37</v>
      </c>
      <c r="F19" s="82"/>
      <c r="G19" s="88">
        <v>1063100</v>
      </c>
      <c r="H19" s="88"/>
      <c r="I19" s="88"/>
      <c r="J19" s="88">
        <v>602460</v>
      </c>
      <c r="K19" s="93">
        <v>596946.92000000004</v>
      </c>
      <c r="L19" s="86"/>
      <c r="M19" s="80">
        <f>K19-K17</f>
        <v>36838.600000000093</v>
      </c>
    </row>
    <row r="20" spans="5:13" x14ac:dyDescent="0.25">
      <c r="E20" s="82" t="s">
        <v>38</v>
      </c>
      <c r="F20" s="82"/>
      <c r="G20" s="88">
        <v>1505750</v>
      </c>
      <c r="H20" s="88"/>
      <c r="I20" s="88"/>
      <c r="J20" s="88">
        <v>680000</v>
      </c>
      <c r="K20" s="93">
        <v>660991.91</v>
      </c>
      <c r="L20" s="86"/>
      <c r="M20" s="80">
        <f>K20-K19</f>
        <v>64044.989999999991</v>
      </c>
    </row>
    <row r="21" spans="5:13" x14ac:dyDescent="0.25">
      <c r="E21" s="82" t="s">
        <v>39</v>
      </c>
      <c r="F21" s="82"/>
      <c r="G21" s="88">
        <v>2597610</v>
      </c>
      <c r="H21" s="88"/>
      <c r="I21" s="88"/>
      <c r="J21" s="88">
        <v>756250</v>
      </c>
      <c r="K21" s="93">
        <v>752177.49</v>
      </c>
      <c r="L21" s="86"/>
    </row>
    <row r="22" spans="5:13" x14ac:dyDescent="0.25">
      <c r="E22" s="82" t="s">
        <v>40</v>
      </c>
      <c r="F22" s="82"/>
      <c r="G22" s="88">
        <v>3313450</v>
      </c>
      <c r="H22" s="88"/>
      <c r="I22" s="88"/>
      <c r="J22" s="88">
        <v>864181</v>
      </c>
      <c r="K22" s="93">
        <v>869181.92</v>
      </c>
      <c r="L22" s="86"/>
    </row>
    <row r="23" spans="5:13" x14ac:dyDescent="0.25">
      <c r="E23" s="82" t="s">
        <v>41</v>
      </c>
      <c r="F23" s="82"/>
      <c r="G23" s="88">
        <v>5790849</v>
      </c>
      <c r="H23" s="88"/>
      <c r="I23" s="88"/>
      <c r="J23" s="88">
        <v>962600</v>
      </c>
      <c r="K23" s="93">
        <v>972057.19</v>
      </c>
      <c r="L23" s="86"/>
    </row>
    <row r="24" spans="5:13" x14ac:dyDescent="0.25">
      <c r="E24" s="82" t="s">
        <v>42</v>
      </c>
      <c r="F24" s="82"/>
      <c r="G24" s="88">
        <v>7249030</v>
      </c>
      <c r="H24" s="88"/>
      <c r="I24" s="88"/>
      <c r="J24" s="88">
        <v>1160390</v>
      </c>
      <c r="K24" s="93">
        <v>1164390.8799999999</v>
      </c>
      <c r="L24" s="86"/>
    </row>
    <row r="25" spans="5:13" x14ac:dyDescent="0.25">
      <c r="E25" s="82" t="s">
        <v>43</v>
      </c>
      <c r="F25" s="82"/>
      <c r="G25" s="88">
        <v>6024980</v>
      </c>
      <c r="H25" s="88"/>
      <c r="I25" s="88"/>
      <c r="J25" s="88">
        <v>1427880</v>
      </c>
      <c r="K25" s="93">
        <v>1426593.39</v>
      </c>
      <c r="L25" s="86"/>
    </row>
    <row r="26" spans="5:13" x14ac:dyDescent="0.25">
      <c r="E26" s="82" t="s">
        <v>44</v>
      </c>
      <c r="F26" s="82"/>
      <c r="G26" s="88">
        <v>3668150</v>
      </c>
      <c r="H26" s="88"/>
      <c r="I26" s="88"/>
      <c r="J26" s="88">
        <v>1527900</v>
      </c>
      <c r="K26" s="93">
        <v>1537921.56</v>
      </c>
      <c r="L26" s="86"/>
    </row>
    <row r="27" spans="5:13" x14ac:dyDescent="0.25">
      <c r="E27" s="81" t="s">
        <v>47</v>
      </c>
      <c r="F27" s="81"/>
      <c r="G27" s="87">
        <f>SUM(G19:G26)</f>
        <v>31212919</v>
      </c>
      <c r="H27" s="87"/>
      <c r="I27" s="87"/>
      <c r="J27" s="87">
        <f>SUM(J19:J26)</f>
        <v>7981661</v>
      </c>
      <c r="K27" s="94">
        <f>SUM(K19:K26)</f>
        <v>7980261.2599999998</v>
      </c>
      <c r="L27" s="86"/>
    </row>
    <row r="28" spans="5:13" x14ac:dyDescent="0.25">
      <c r="E28" s="82"/>
      <c r="F28" s="82"/>
      <c r="G28" s="88"/>
      <c r="H28" s="88"/>
      <c r="I28" s="88"/>
      <c r="J28" s="88"/>
      <c r="K28" s="94"/>
      <c r="L28" s="86"/>
    </row>
    <row r="29" spans="5:13" x14ac:dyDescent="0.25">
      <c r="E29" s="82"/>
      <c r="F29" s="82"/>
      <c r="G29" s="88"/>
      <c r="H29" s="88"/>
      <c r="I29" s="88"/>
      <c r="J29" s="88"/>
      <c r="K29" s="94"/>
      <c r="L29" s="86"/>
    </row>
    <row r="30" spans="5:13" x14ac:dyDescent="0.25">
      <c r="E30" s="90" t="s">
        <v>48</v>
      </c>
      <c r="F30" s="90"/>
      <c r="G30" s="91" t="s">
        <v>50</v>
      </c>
      <c r="H30" s="91"/>
      <c r="I30" s="91"/>
      <c r="J30" s="91" t="s">
        <v>51</v>
      </c>
      <c r="K30" s="92" t="s">
        <v>52</v>
      </c>
      <c r="L30" s="86"/>
    </row>
    <row r="31" spans="5:13" x14ac:dyDescent="0.25">
      <c r="E31" s="82" t="s">
        <v>45</v>
      </c>
      <c r="F31" s="82"/>
      <c r="G31" s="88">
        <v>5612604</v>
      </c>
      <c r="H31" s="88"/>
      <c r="I31" s="88"/>
      <c r="J31" s="88">
        <v>1648402.38</v>
      </c>
      <c r="K31" s="93">
        <v>1648402.38</v>
      </c>
      <c r="L31" s="86"/>
    </row>
    <row r="32" spans="5:13" x14ac:dyDescent="0.25">
      <c r="E32" s="82" t="s">
        <v>46</v>
      </c>
      <c r="F32" s="82"/>
      <c r="G32" s="88">
        <v>5537010</v>
      </c>
      <c r="H32" s="88"/>
      <c r="I32" s="88"/>
      <c r="J32" s="88">
        <v>1810099.13</v>
      </c>
      <c r="K32" s="93">
        <v>1810099.13</v>
      </c>
      <c r="L32" s="86"/>
    </row>
    <row r="33" spans="5:17" x14ac:dyDescent="0.25">
      <c r="E33" s="81" t="s">
        <v>47</v>
      </c>
      <c r="F33" s="81"/>
      <c r="G33" s="87">
        <f>SUM(G31:G32)</f>
        <v>11149614</v>
      </c>
      <c r="H33" s="87"/>
      <c r="I33" s="87"/>
      <c r="J33" s="87">
        <f>SUM(J31:J32)</f>
        <v>3458501.51</v>
      </c>
      <c r="K33" s="94">
        <f>SUM(K31:K32)</f>
        <v>3458501.51</v>
      </c>
      <c r="L33" s="86"/>
    </row>
    <row r="34" spans="5:17" x14ac:dyDescent="0.25">
      <c r="E34" s="97"/>
      <c r="F34" s="97"/>
      <c r="G34" s="88"/>
      <c r="H34" s="88"/>
      <c r="I34" s="88"/>
      <c r="J34" s="88"/>
      <c r="K34" s="94"/>
      <c r="L34" s="84"/>
    </row>
    <row r="35" spans="5:17" x14ac:dyDescent="0.25">
      <c r="E35" s="83"/>
      <c r="F35" s="83"/>
      <c r="G35" s="89"/>
      <c r="H35" s="89"/>
      <c r="I35" s="89"/>
      <c r="J35" s="89"/>
      <c r="K35" s="95"/>
      <c r="L35" s="84"/>
    </row>
    <row r="36" spans="5:17" x14ac:dyDescent="0.25">
      <c r="E36" s="83"/>
      <c r="F36" s="83"/>
      <c r="G36" s="89"/>
      <c r="H36" s="89"/>
      <c r="I36" s="89"/>
      <c r="J36" s="89"/>
      <c r="K36" s="95"/>
      <c r="L36" s="84"/>
    </row>
    <row r="37" spans="5:17" ht="15.75" thickBot="1" x14ac:dyDescent="0.3">
      <c r="E37" t="s">
        <v>45</v>
      </c>
      <c r="K37" s="96"/>
      <c r="L37" s="80"/>
    </row>
    <row r="38" spans="5:17" ht="16.5" thickBot="1" x14ac:dyDescent="0.3">
      <c r="E38" t="s">
        <v>46</v>
      </c>
      <c r="K38" s="96"/>
      <c r="L38" s="80"/>
      <c r="M38" s="147" t="s">
        <v>53</v>
      </c>
      <c r="N38" s="148"/>
    </row>
    <row r="39" spans="5:17" ht="16.5" thickBot="1" x14ac:dyDescent="0.3">
      <c r="K39" s="96"/>
      <c r="L39" s="80"/>
      <c r="M39" s="98" t="s">
        <v>54</v>
      </c>
      <c r="N39" s="99"/>
      <c r="P39" s="98" t="s">
        <v>54</v>
      </c>
      <c r="Q39" s="99"/>
    </row>
    <row r="40" spans="5:17" ht="30.75" thickBot="1" x14ac:dyDescent="0.3">
      <c r="M40" s="100" t="s">
        <v>55</v>
      </c>
      <c r="N40" s="105">
        <v>50000000</v>
      </c>
      <c r="P40" s="100" t="s">
        <v>55</v>
      </c>
      <c r="Q40" s="99" t="s">
        <v>56</v>
      </c>
    </row>
    <row r="41" spans="5:17" ht="15.75" thickBot="1" x14ac:dyDescent="0.3">
      <c r="M41" s="100" t="s">
        <v>57</v>
      </c>
      <c r="N41" s="104">
        <f>0.03*N40</f>
        <v>1500000</v>
      </c>
      <c r="P41" s="100" t="s">
        <v>57</v>
      </c>
      <c r="Q41" s="99" t="s">
        <v>58</v>
      </c>
    </row>
    <row r="42" spans="5:17" ht="15.75" thickBot="1" x14ac:dyDescent="0.3">
      <c r="M42" s="100" t="s">
        <v>93</v>
      </c>
      <c r="N42" s="105">
        <f>0.3358*50000000</f>
        <v>16790000</v>
      </c>
      <c r="P42" s="100" t="s">
        <v>59</v>
      </c>
      <c r="Q42" s="99" t="s">
        <v>60</v>
      </c>
    </row>
    <row r="43" spans="5:17" ht="16.5" thickBot="1" x14ac:dyDescent="0.3">
      <c r="M43" s="98" t="s">
        <v>61</v>
      </c>
      <c r="N43" s="106">
        <f>SUM(N41:N42)</f>
        <v>18290000</v>
      </c>
      <c r="P43" s="98" t="s">
        <v>61</v>
      </c>
      <c r="Q43" s="101" t="s">
        <v>62</v>
      </c>
    </row>
    <row r="44" spans="5:17" ht="16.5" thickBot="1" x14ac:dyDescent="0.3">
      <c r="M44" s="98" t="s">
        <v>63</v>
      </c>
      <c r="N44" s="99"/>
      <c r="P44" s="98" t="s">
        <v>63</v>
      </c>
      <c r="Q44" s="99"/>
    </row>
    <row r="45" spans="5:17" ht="15.75" thickBot="1" x14ac:dyDescent="0.3">
      <c r="M45" s="100" t="s">
        <v>64</v>
      </c>
      <c r="N45" s="107">
        <f>0.24*N40</f>
        <v>12000000</v>
      </c>
      <c r="P45" s="100" t="s">
        <v>64</v>
      </c>
      <c r="Q45" s="99" t="s">
        <v>65</v>
      </c>
    </row>
    <row r="46" spans="5:17" ht="15.75" thickBot="1" x14ac:dyDescent="0.3">
      <c r="M46" s="100" t="s">
        <v>66</v>
      </c>
      <c r="N46" s="107">
        <f>0.01*N40</f>
        <v>500000</v>
      </c>
      <c r="P46" s="100" t="s">
        <v>66</v>
      </c>
      <c r="Q46" s="99" t="s">
        <v>67</v>
      </c>
    </row>
    <row r="47" spans="5:17" ht="16.5" thickBot="1" x14ac:dyDescent="0.3">
      <c r="M47" s="98" t="s">
        <v>68</v>
      </c>
      <c r="N47" s="108">
        <f>SUM(N45:N46)</f>
        <v>12500000</v>
      </c>
      <c r="P47" s="98" t="s">
        <v>68</v>
      </c>
      <c r="Q47" s="101" t="s">
        <v>69</v>
      </c>
    </row>
    <row r="48" spans="5:17" ht="16.5" thickBot="1" x14ac:dyDescent="0.3">
      <c r="M48" s="98" t="s">
        <v>70</v>
      </c>
      <c r="N48" s="108">
        <f>N43-N47</f>
        <v>5790000</v>
      </c>
      <c r="P48" s="98" t="s">
        <v>70</v>
      </c>
      <c r="Q48" s="101" t="s">
        <v>71</v>
      </c>
    </row>
    <row r="49" spans="13:17" ht="15.75" thickBot="1" x14ac:dyDescent="0.3">
      <c r="M49" s="100" t="s">
        <v>72</v>
      </c>
      <c r="N49" s="109">
        <f>N48/N43</f>
        <v>0.31656642974302895</v>
      </c>
      <c r="P49" s="100" t="s">
        <v>72</v>
      </c>
      <c r="Q49" s="99">
        <v>0.82</v>
      </c>
    </row>
    <row r="50" spans="13:17" x14ac:dyDescent="0.25">
      <c r="M50" s="102" t="s">
        <v>73</v>
      </c>
      <c r="P50" s="102" t="s">
        <v>91</v>
      </c>
    </row>
    <row r="51" spans="13:17" x14ac:dyDescent="0.25">
      <c r="M51" s="102" t="s">
        <v>74</v>
      </c>
      <c r="P51" s="102" t="s">
        <v>92</v>
      </c>
    </row>
    <row r="52" spans="13:17" x14ac:dyDescent="0.25">
      <c r="M52" s="103" t="s">
        <v>75</v>
      </c>
    </row>
    <row r="53" spans="13:17" x14ac:dyDescent="0.25">
      <c r="M53" s="103" t="s">
        <v>76</v>
      </c>
    </row>
    <row r="54" spans="13:17" x14ac:dyDescent="0.25">
      <c r="M54" s="103" t="s">
        <v>77</v>
      </c>
      <c r="P54">
        <f>PMT(0.3458/12,12,-N40)</f>
        <v>4987687.7630054792</v>
      </c>
    </row>
    <row r="55" spans="13:17" x14ac:dyDescent="0.25">
      <c r="M55" s="103" t="s">
        <v>78</v>
      </c>
      <c r="P55">
        <f>P54*12</f>
        <v>59852253.156065747</v>
      </c>
    </row>
    <row r="56" spans="13:17" x14ac:dyDescent="0.25">
      <c r="M56" s="103" t="s">
        <v>79</v>
      </c>
      <c r="P56">
        <f>P55-50000000</f>
        <v>9852253.1560657471</v>
      </c>
    </row>
    <row r="57" spans="13:17" x14ac:dyDescent="0.25">
      <c r="M57" s="103" t="s">
        <v>80</v>
      </c>
    </row>
    <row r="58" spans="13:17" x14ac:dyDescent="0.25">
      <c r="M58" s="103"/>
    </row>
    <row r="59" spans="13:17" x14ac:dyDescent="0.25">
      <c r="M59" s="103" t="s">
        <v>81</v>
      </c>
    </row>
    <row r="60" spans="13:17" x14ac:dyDescent="0.25">
      <c r="M60" s="103" t="s">
        <v>82</v>
      </c>
    </row>
    <row r="61" spans="13:17" x14ac:dyDescent="0.25">
      <c r="M61" s="103" t="s">
        <v>83</v>
      </c>
    </row>
    <row r="62" spans="13:17" x14ac:dyDescent="0.25">
      <c r="M62" s="103"/>
    </row>
    <row r="63" spans="13:17" x14ac:dyDescent="0.25">
      <c r="M63" s="103" t="s">
        <v>84</v>
      </c>
    </row>
    <row r="64" spans="13:17" x14ac:dyDescent="0.25">
      <c r="M64" s="103"/>
    </row>
    <row r="65" spans="13:13" x14ac:dyDescent="0.25">
      <c r="M65" s="103" t="s">
        <v>85</v>
      </c>
    </row>
    <row r="66" spans="13:13" x14ac:dyDescent="0.25">
      <c r="M66" s="103"/>
    </row>
    <row r="67" spans="13:13" x14ac:dyDescent="0.25">
      <c r="M67" s="103" t="s">
        <v>86</v>
      </c>
    </row>
    <row r="68" spans="13:13" x14ac:dyDescent="0.25">
      <c r="M68" s="103" t="s">
        <v>87</v>
      </c>
    </row>
    <row r="69" spans="13:13" x14ac:dyDescent="0.25">
      <c r="M69" s="103"/>
    </row>
    <row r="70" spans="13:13" x14ac:dyDescent="0.25">
      <c r="M70" s="103" t="s">
        <v>88</v>
      </c>
    </row>
    <row r="71" spans="13:13" x14ac:dyDescent="0.25">
      <c r="M71" s="103" t="s">
        <v>89</v>
      </c>
    </row>
    <row r="72" spans="13:13" x14ac:dyDescent="0.25">
      <c r="M72" s="102" t="s">
        <v>90</v>
      </c>
    </row>
    <row r="73" spans="13:13" x14ac:dyDescent="0.25">
      <c r="M73" s="102" t="s">
        <v>91</v>
      </c>
    </row>
    <row r="74" spans="13:13" x14ac:dyDescent="0.25">
      <c r="M74" s="102" t="s">
        <v>92</v>
      </c>
    </row>
  </sheetData>
  <mergeCells count="3">
    <mergeCell ref="M38:N38"/>
    <mergeCell ref="H4:H7"/>
    <mergeCell ref="H9:H12"/>
  </mergeCells>
  <phoneticPr fontId="13" type="noConversion"/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e2af2c44-2a68-44e7-8484-25c476ff5f6c}" enabled="1" method="Privileged" siteId="{cd6683a6-aa85-46cf-aeea-92d4a147700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LOAN SCHEDULE (4)</vt:lpstr>
      <vt:lpstr>Sheet1</vt:lpstr>
      <vt:lpstr>Sheet1 (2)</vt:lpstr>
      <vt:lpstr>Sheet2</vt:lpstr>
      <vt:lpstr>'LOAN SCHEDULE (4)'!Print_Titles</vt:lpstr>
    </vt:vector>
  </TitlesOfParts>
  <Company>ABP-WIN10-SCCM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Offei</dc:creator>
  <cp:lastModifiedBy>Eric Emmanuel Dzasa</cp:lastModifiedBy>
  <dcterms:created xsi:type="dcterms:W3CDTF">2022-04-01T13:17:54Z</dcterms:created>
  <dcterms:modified xsi:type="dcterms:W3CDTF">2024-01-22T16:05:10Z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2af2c44-2a68-44e7-8484-25c476ff5f6c_Enabled">
    <vt:lpwstr>true</vt:lpwstr>
  </property>
  <property fmtid="{D5CDD505-2E9C-101B-9397-08002B2CF9AE}" pid="3" name="MSIP_Label_e2af2c44-2a68-44e7-8484-25c476ff5f6c_SetDate">
    <vt:lpwstr>2023-04-25T08:18:08Z</vt:lpwstr>
  </property>
  <property fmtid="{D5CDD505-2E9C-101B-9397-08002B2CF9AE}" pid="4" name="MSIP_Label_e2af2c44-2a68-44e7-8484-25c476ff5f6c_Method">
    <vt:lpwstr>Privileged</vt:lpwstr>
  </property>
  <property fmtid="{D5CDD505-2E9C-101B-9397-08002B2CF9AE}" pid="5" name="MSIP_Label_e2af2c44-2a68-44e7-8484-25c476ff5f6c_Name">
    <vt:lpwstr>Public</vt:lpwstr>
  </property>
  <property fmtid="{D5CDD505-2E9C-101B-9397-08002B2CF9AE}" pid="6" name="MSIP_Label_e2af2c44-2a68-44e7-8484-25c476ff5f6c_SiteId">
    <vt:lpwstr>cd6683a6-aa85-46cf-aeea-92d4a1477009</vt:lpwstr>
  </property>
  <property fmtid="{D5CDD505-2E9C-101B-9397-08002B2CF9AE}" pid="7" name="MSIP_Label_e2af2c44-2a68-44e7-8484-25c476ff5f6c_ActionId">
    <vt:lpwstr>915617dd-6473-4711-967b-32bd5a192315</vt:lpwstr>
  </property>
  <property fmtid="{D5CDD505-2E9C-101B-9397-08002B2CF9AE}" pid="8" name="MSIP_Label_e2af2c44-2a68-44e7-8484-25c476ff5f6c_ContentBits">
    <vt:lpwstr>0</vt:lpwstr>
  </property>
</Properties>
</file>